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APaso\Global Giving\Project 2024\"/>
    </mc:Choice>
  </mc:AlternateContent>
  <xr:revisionPtr revIDLastSave="0" documentId="13_ncr:1_{796BD546-46FA-44E5-9352-81429DFC81E0}" xr6:coauthVersionLast="47" xr6:coauthVersionMax="47" xr10:uidLastSave="{00000000-0000-0000-0000-000000000000}"/>
  <bookViews>
    <workbookView xWindow="-110" yWindow="-110" windowWidth="19420" windowHeight="10420" xr2:uid="{4A504DCD-BD2F-458D-850E-E5CBDBA88145}"/>
  </bookViews>
  <sheets>
    <sheet name="Resumen costos" sheetId="10" r:id="rId1"/>
  </sheets>
  <definedNames>
    <definedName name="_xlnm.Print_Area" localSheetId="0">'Resumen costos'!$A$1:$V$86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0" l="1"/>
  <c r="D6" i="10"/>
  <c r="E6" i="10"/>
  <c r="F6" i="10" s="1"/>
  <c r="F4" i="10"/>
  <c r="F5" i="10"/>
  <c r="F7" i="10"/>
  <c r="F8" i="10"/>
  <c r="C8" i="10"/>
  <c r="D8" i="10"/>
  <c r="E8" i="10"/>
  <c r="Q86" i="10"/>
  <c r="P86" i="10"/>
  <c r="O86" i="10"/>
  <c r="N86" i="10"/>
  <c r="Q84" i="10"/>
  <c r="P84" i="10"/>
  <c r="O84" i="10"/>
  <c r="N84" i="10"/>
  <c r="Q71" i="10"/>
  <c r="P71" i="10"/>
  <c r="O71" i="10"/>
  <c r="N71" i="10"/>
  <c r="B6" i="10"/>
  <c r="B5" i="10"/>
  <c r="C4" i="10"/>
  <c r="D4" i="10"/>
  <c r="E4" i="10"/>
  <c r="C5" i="10"/>
  <c r="D5" i="10"/>
  <c r="E5" i="10"/>
  <c r="C7" i="10"/>
  <c r="D7" i="10"/>
  <c r="E7" i="10"/>
  <c r="B8" i="10"/>
  <c r="B7" i="10"/>
  <c r="B4" i="10"/>
  <c r="K77" i="10"/>
  <c r="T76" i="10"/>
  <c r="T77" i="10" s="1"/>
  <c r="P76" i="10"/>
  <c r="V76" i="10" s="1"/>
  <c r="V77" i="10" s="1"/>
  <c r="V78" i="10" s="1"/>
  <c r="V79" i="10" s="1"/>
  <c r="O76" i="10"/>
  <c r="L76" i="10"/>
  <c r="L77" i="10" s="1"/>
  <c r="U66" i="10"/>
  <c r="V67" i="10" s="1"/>
  <c r="V66" i="10"/>
  <c r="V68" i="10"/>
  <c r="K64" i="10"/>
  <c r="S63" i="10"/>
  <c r="T63" i="10" s="1"/>
  <c r="T64" i="10" s="1"/>
  <c r="O63" i="10"/>
  <c r="P63" i="10" s="1"/>
  <c r="L63" i="10"/>
  <c r="L64" i="10" s="1"/>
  <c r="Q55" i="10"/>
  <c r="P55" i="10"/>
  <c r="O55" i="10"/>
  <c r="N55" i="10"/>
  <c r="M55" i="10"/>
  <c r="Q54" i="10"/>
  <c r="P54" i="10"/>
  <c r="O54" i="10"/>
  <c r="N54" i="10"/>
  <c r="M54" i="10"/>
  <c r="L53" i="10"/>
  <c r="L57" i="10" s="1"/>
  <c r="Q52" i="10"/>
  <c r="P52" i="10"/>
  <c r="O52" i="10"/>
  <c r="N52" i="10"/>
  <c r="M52" i="10"/>
  <c r="N45" i="10"/>
  <c r="O45" i="10"/>
  <c r="P45" i="10"/>
  <c r="Q45" i="10"/>
  <c r="N46" i="10"/>
  <c r="O46" i="10"/>
  <c r="P46" i="10"/>
  <c r="Q46" i="10"/>
  <c r="N47" i="10"/>
  <c r="O47" i="10"/>
  <c r="P47" i="10"/>
  <c r="Q47" i="10"/>
  <c r="Q44" i="10"/>
  <c r="P44" i="10"/>
  <c r="O44" i="10"/>
  <c r="N44" i="10"/>
  <c r="M47" i="10"/>
  <c r="L47" i="10"/>
  <c r="L46" i="10"/>
  <c r="M46" i="10" s="1"/>
  <c r="M45" i="10"/>
  <c r="M44" i="10"/>
  <c r="M48" i="10" s="1"/>
  <c r="Q39" i="10"/>
  <c r="O39" i="10"/>
  <c r="N39" i="10"/>
  <c r="M39" i="10"/>
  <c r="L39" i="10"/>
  <c r="P39" i="10" s="1"/>
  <c r="L38" i="10"/>
  <c r="Q38" i="10" s="1"/>
  <c r="P37" i="10"/>
  <c r="M37" i="10"/>
  <c r="N36" i="10"/>
  <c r="M36" i="10"/>
  <c r="Q35" i="10"/>
  <c r="P35" i="10"/>
  <c r="O35" i="10"/>
  <c r="N35" i="10"/>
  <c r="M35" i="10"/>
  <c r="Q30" i="10"/>
  <c r="P30" i="10"/>
  <c r="O30" i="10"/>
  <c r="N30" i="10"/>
  <c r="M30" i="10"/>
  <c r="Q29" i="10"/>
  <c r="P29" i="10"/>
  <c r="O29" i="10"/>
  <c r="N29" i="10"/>
  <c r="M29" i="10"/>
  <c r="M28" i="10"/>
  <c r="P28" i="10" s="1"/>
  <c r="P31" i="10" s="1"/>
  <c r="Q27" i="10"/>
  <c r="Q31" i="10" s="1"/>
  <c r="P27" i="10"/>
  <c r="O27" i="10"/>
  <c r="N27" i="10"/>
  <c r="M27" i="10"/>
  <c r="Q26" i="10"/>
  <c r="P26" i="10"/>
  <c r="O26" i="10"/>
  <c r="O31" i="10" s="1"/>
  <c r="N26" i="10"/>
  <c r="N31" i="10" s="1"/>
  <c r="M26" i="10"/>
  <c r="M31" i="10" s="1"/>
  <c r="F3" i="10"/>
  <c r="C3" i="10"/>
  <c r="D3" i="10"/>
  <c r="E3" i="10"/>
  <c r="B3" i="10"/>
  <c r="Q9" i="10"/>
  <c r="P9" i="10"/>
  <c r="O9" i="10"/>
  <c r="N9" i="10"/>
  <c r="N18" i="10"/>
  <c r="O18" i="10"/>
  <c r="P18" i="10"/>
  <c r="Q18" i="10"/>
  <c r="Q20" i="10"/>
  <c r="Q21" i="10"/>
  <c r="P20" i="10"/>
  <c r="P21" i="10"/>
  <c r="O20" i="10"/>
  <c r="O21" i="10"/>
  <c r="N20" i="10"/>
  <c r="N21" i="10"/>
  <c r="Q19" i="10"/>
  <c r="P19" i="10"/>
  <c r="O19" i="10"/>
  <c r="N19" i="10"/>
  <c r="M19" i="10"/>
  <c r="M18" i="10"/>
  <c r="Q17" i="10"/>
  <c r="P17" i="10"/>
  <c r="O17" i="10"/>
  <c r="N17" i="10"/>
  <c r="M17" i="10"/>
  <c r="M16" i="10"/>
  <c r="P16" i="10" s="1"/>
  <c r="Q15" i="10"/>
  <c r="P15" i="10"/>
  <c r="O15" i="10"/>
  <c r="N15" i="10"/>
  <c r="M15" i="10"/>
  <c r="M14" i="10"/>
  <c r="N14" i="10" s="1"/>
  <c r="M13" i="10"/>
  <c r="N13" i="10" s="1"/>
  <c r="L12" i="10"/>
  <c r="Q12" i="10" s="1"/>
  <c r="Q11" i="10"/>
  <c r="P11" i="10"/>
  <c r="O11" i="10"/>
  <c r="N11" i="10"/>
  <c r="M11" i="10"/>
  <c r="Q10" i="10"/>
  <c r="P10" i="10"/>
  <c r="O10" i="10"/>
  <c r="N10" i="10"/>
  <c r="M10" i="10"/>
  <c r="M9" i="10"/>
  <c r="Q8" i="10"/>
  <c r="P8" i="10"/>
  <c r="O8" i="10"/>
  <c r="N8" i="10"/>
  <c r="M8" i="10"/>
  <c r="L7" i="10"/>
  <c r="Q7" i="10" s="1"/>
  <c r="L6" i="10"/>
  <c r="Q6" i="10" s="1"/>
  <c r="Q5" i="10"/>
  <c r="P5" i="10"/>
  <c r="L5" i="10"/>
  <c r="O5" i="10" s="1"/>
  <c r="Q4" i="10"/>
  <c r="P4" i="10"/>
  <c r="O4" i="10"/>
  <c r="N4" i="10"/>
  <c r="L4" i="10"/>
  <c r="M4" i="10" s="1"/>
  <c r="L3" i="10"/>
  <c r="P3" i="10" s="1"/>
  <c r="U76" i="10" l="1"/>
  <c r="U77" i="10" s="1"/>
  <c r="U78" i="10" s="1"/>
  <c r="P77" i="10"/>
  <c r="P64" i="10"/>
  <c r="V63" i="10"/>
  <c r="V64" i="10" s="1"/>
  <c r="V65" i="10" s="1"/>
  <c r="U63" i="10"/>
  <c r="U64" i="10" s="1"/>
  <c r="U65" i="10" s="1"/>
  <c r="M57" i="10"/>
  <c r="Q57" i="10"/>
  <c r="P57" i="10"/>
  <c r="O57" i="10"/>
  <c r="N57" i="10"/>
  <c r="L56" i="10"/>
  <c r="M53" i="10"/>
  <c r="N53" i="10"/>
  <c r="O53" i="10"/>
  <c r="P53" i="10"/>
  <c r="Q53" i="10"/>
  <c r="O48" i="10"/>
  <c r="N48" i="10"/>
  <c r="P48" i="10"/>
  <c r="Q48" i="10"/>
  <c r="Q40" i="10"/>
  <c r="M38" i="10"/>
  <c r="M40" i="10" s="1"/>
  <c r="N38" i="10"/>
  <c r="N40" i="10" s="1"/>
  <c r="O38" i="10"/>
  <c r="O40" i="10" s="1"/>
  <c r="P38" i="10"/>
  <c r="P40" i="10" s="1"/>
  <c r="M3" i="10"/>
  <c r="M7" i="10"/>
  <c r="L21" i="10"/>
  <c r="N3" i="10"/>
  <c r="N7" i="10"/>
  <c r="O16" i="10"/>
  <c r="O7" i="10"/>
  <c r="N6" i="10"/>
  <c r="P7" i="10"/>
  <c r="N12" i="10"/>
  <c r="Q3" i="10"/>
  <c r="M5" i="10"/>
  <c r="O6" i="10"/>
  <c r="O12" i="10"/>
  <c r="O3" i="10"/>
  <c r="M6" i="10"/>
  <c r="M12" i="10"/>
  <c r="L20" i="10"/>
  <c r="M20" i="10" s="1"/>
  <c r="N5" i="10"/>
  <c r="P6" i="10"/>
  <c r="P12" i="10"/>
  <c r="V81" i="10" l="1"/>
  <c r="U79" i="10"/>
  <c r="V80" i="10" s="1"/>
  <c r="O58" i="10"/>
  <c r="N58" i="10"/>
  <c r="M58" i="10"/>
  <c r="Q56" i="10"/>
  <c r="Q58" i="10" s="1"/>
  <c r="P56" i="10"/>
  <c r="P58" i="10" s="1"/>
  <c r="O56" i="10"/>
  <c r="N56" i="10"/>
  <c r="M56" i="10"/>
  <c r="P22" i="10"/>
  <c r="N22" i="10"/>
  <c r="Q22" i="10"/>
  <c r="M21" i="10"/>
  <c r="M22" i="10" s="1"/>
  <c r="O22" i="10"/>
  <c r="C9" i="10" l="1"/>
  <c r="E9" i="10"/>
  <c r="D9" i="10"/>
  <c r="B9" i="10"/>
  <c r="F9" i="10" l="1"/>
</calcChain>
</file>

<file path=xl/sharedStrings.xml><?xml version="1.0" encoding="utf-8"?>
<sst xmlns="http://schemas.openxmlformats.org/spreadsheetml/2006/main" count="235" uniqueCount="93">
  <si>
    <t>ITEM</t>
  </si>
  <si>
    <t>DESCRIPCION</t>
  </si>
  <si>
    <t>UND</t>
  </si>
  <si>
    <t>CANT.</t>
  </si>
  <si>
    <t>VR UNIT.</t>
  </si>
  <si>
    <t>TOTAL</t>
  </si>
  <si>
    <t>Docencia y coordinación</t>
  </si>
  <si>
    <t>Mes</t>
  </si>
  <si>
    <t>Iniciación</t>
  </si>
  <si>
    <t>Materiales</t>
  </si>
  <si>
    <t>Instrumental</t>
  </si>
  <si>
    <t>Instrumentos musicales</t>
  </si>
  <si>
    <t>Salidas Pedagógicas y presentaciones</t>
  </si>
  <si>
    <t>Refrigerios</t>
  </si>
  <si>
    <t>Seguro estudiantil</t>
  </si>
  <si>
    <t>Und</t>
  </si>
  <si>
    <t xml:space="preserve">Carnetización </t>
  </si>
  <si>
    <t xml:space="preserve">Transporte </t>
  </si>
  <si>
    <t>Administración</t>
  </si>
  <si>
    <t>Instalaciones</t>
  </si>
  <si>
    <t>Servicios públicos (luz, agua)</t>
  </si>
  <si>
    <t>Imprevistos (3%)</t>
  </si>
  <si>
    <t>Banda Juvenil</t>
  </si>
  <si>
    <t>Q1</t>
  </si>
  <si>
    <t>Q2</t>
  </si>
  <si>
    <t>Q3</t>
  </si>
  <si>
    <t>Q4</t>
  </si>
  <si>
    <t>Mantenimiento instrumental (luthier)</t>
  </si>
  <si>
    <t>Administración (10%)</t>
  </si>
  <si>
    <t>Coordinador(es) programa</t>
  </si>
  <si>
    <t>Salidas Pedagógicas</t>
  </si>
  <si>
    <t>No.</t>
  </si>
  <si>
    <t>Matricula</t>
  </si>
  <si>
    <t>Total</t>
  </si>
  <si>
    <t>Meses</t>
  </si>
  <si>
    <t>Club de Lectura</t>
  </si>
  <si>
    <t>PROGRAMA</t>
  </si>
  <si>
    <t>Libros</t>
  </si>
  <si>
    <t>SG</t>
  </si>
  <si>
    <t>Editorial Cartonera</t>
  </si>
  <si>
    <t>Educacion Ambiental</t>
  </si>
  <si>
    <t>Imprevistos (~ 3%)</t>
  </si>
  <si>
    <t>Administración (~ 10%)</t>
  </si>
  <si>
    <t>Administración (~10%)</t>
  </si>
  <si>
    <t>Imprevistos (~3%)</t>
  </si>
  <si>
    <t>Arreglo de parques + charlas</t>
  </si>
  <si>
    <t xml:space="preserve"> </t>
  </si>
  <si>
    <t>Valor</t>
  </si>
  <si>
    <t>50% Valor</t>
  </si>
  <si>
    <t>Varios</t>
  </si>
  <si>
    <t>Pensión (2)</t>
  </si>
  <si>
    <t>Otros (3)</t>
  </si>
  <si>
    <t>Unifiromes</t>
  </si>
  <si>
    <t>Mat. + Pensión</t>
  </si>
  <si>
    <t>Mat.+Pens.+otros</t>
  </si>
  <si>
    <t>1 + 2</t>
  </si>
  <si>
    <t>1+2+3</t>
  </si>
  <si>
    <t>Costo estudiante año</t>
  </si>
  <si>
    <t>Costo estudiante mes</t>
  </si>
  <si>
    <t>Banda Infantil (Pre-Banda)</t>
  </si>
  <si>
    <t>Cada sábado</t>
  </si>
  <si>
    <t>Matricula
-7% (1)</t>
  </si>
  <si>
    <t>Matricula
-0% (1)</t>
  </si>
  <si>
    <t>Sugerido para padrinazgo</t>
  </si>
  <si>
    <t>Materiales (*)</t>
  </si>
  <si>
    <t>Cuerdas pulsadas y pianos</t>
  </si>
  <si>
    <t>Cuerdas frotadas</t>
  </si>
  <si>
    <t>Inglés</t>
  </si>
  <si>
    <t>Libros Instituyo YES</t>
  </si>
  <si>
    <t>Coordinador programa</t>
  </si>
  <si>
    <t>Uniformes (camisetas y pantalón)</t>
  </si>
  <si>
    <t>S.G.</t>
  </si>
  <si>
    <t>TECNOACADEMIA 2025</t>
  </si>
  <si>
    <t>MÚSICA 2025</t>
  </si>
  <si>
    <t>INGLÉS 2024</t>
  </si>
  <si>
    <t>EDUCACIÓN AMBIENTAL 2025</t>
  </si>
  <si>
    <t>CLUB DE LECTURA - PLANETA VERDE 2025</t>
  </si>
  <si>
    <t>COLEGIO MARIA AUXILIADORA - NEIVA 2025</t>
  </si>
  <si>
    <t>Descripción</t>
  </si>
  <si>
    <t>Estudiantes</t>
  </si>
  <si>
    <t>Cantidad</t>
  </si>
  <si>
    <t>COLEGIO SALESIANO SAN MEDARDO - NEIVA 2025</t>
  </si>
  <si>
    <t>Total 8 estudiantes</t>
  </si>
  <si>
    <t xml:space="preserve">  </t>
  </si>
  <si>
    <t xml:space="preserve">Planeta Circular: </t>
  </si>
  <si>
    <t xml:space="preserve">Musica: bandas, cuerdas pulsadas y frotadas, piano </t>
  </si>
  <si>
    <t>Tecnoacademia: avanzado</t>
  </si>
  <si>
    <t>Plan Padrinos (*)</t>
  </si>
  <si>
    <t>(*): Valores estimados que serán ajustados de acuerdo con los valores relamente asignados por cada institución educativa para el año 2025</t>
  </si>
  <si>
    <t>Cañas, boquillas y otros.</t>
  </si>
  <si>
    <t>Aseo instalaciones y reparac. varias</t>
  </si>
  <si>
    <t xml:space="preserve">Inc. mantenimiento equipos </t>
  </si>
  <si>
    <t>PASO - PRESUPUESTO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</si>
</sst>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-* #,##0_-;\-* #,##0_-;_-* &quot;-&quot;??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Arial Narrow"/>
      <family val="2"/>
    </font>
    <font>
      <b/>
      <sz val="8"/>
      <color theme="0"/>
      <name val="Calibri Light"/>
      <family val="2"/>
      <scheme val="major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5A1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5">
    <xf numFmtId="0" fontId="0" fillId="0" borderId="0" xfId="0"/>
    <xf numFmtId="164" fontId="4" fillId="0" borderId="0" xfId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164" fontId="4" fillId="0" borderId="8" xfId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64" fontId="4" fillId="0" borderId="0" xfId="1" applyFont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6" fillId="0" borderId="0" xfId="2" applyNumberFormat="1" applyFont="1"/>
    <xf numFmtId="0" fontId="6" fillId="2" borderId="4" xfId="0" applyFont="1" applyFill="1" applyBorder="1" applyAlignment="1">
      <alignment horizontal="center" vertical="center"/>
    </xf>
    <xf numFmtId="43" fontId="6" fillId="0" borderId="0" xfId="0" applyNumberFormat="1" applyFont="1"/>
    <xf numFmtId="0" fontId="9" fillId="0" borderId="0" xfId="0" applyFont="1"/>
    <xf numFmtId="164" fontId="5" fillId="0" borderId="0" xfId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5" xfId="2" applyNumberFormat="1" applyFont="1" applyBorder="1"/>
    <xf numFmtId="166" fontId="6" fillId="0" borderId="5" xfId="0" applyNumberFormat="1" applyFont="1" applyBorder="1"/>
    <xf numFmtId="166" fontId="6" fillId="2" borderId="5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 wrapText="1"/>
    </xf>
    <xf numFmtId="0" fontId="6" fillId="4" borderId="0" xfId="0" applyFont="1" applyFill="1"/>
    <xf numFmtId="43" fontId="6" fillId="4" borderId="0" xfId="0" applyNumberFormat="1" applyFont="1" applyFill="1"/>
    <xf numFmtId="164" fontId="6" fillId="0" borderId="0" xfId="1" applyFont="1"/>
    <xf numFmtId="165" fontId="2" fillId="2" borderId="5" xfId="2" applyNumberFormat="1" applyFont="1" applyFill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8" fillId="4" borderId="14" xfId="0" applyFont="1" applyFill="1" applyBorder="1"/>
    <xf numFmtId="0" fontId="8" fillId="4" borderId="10" xfId="0" applyFont="1" applyFill="1" applyBorder="1"/>
    <xf numFmtId="165" fontId="8" fillId="4" borderId="10" xfId="2" applyNumberFormat="1" applyFont="1" applyFill="1" applyBorder="1"/>
    <xf numFmtId="0" fontId="6" fillId="4" borderId="10" xfId="0" applyFont="1" applyFill="1" applyBorder="1"/>
    <xf numFmtId="166" fontId="8" fillId="4" borderId="10" xfId="0" applyNumberFormat="1" applyFont="1" applyFill="1" applyBorder="1"/>
    <xf numFmtId="166" fontId="8" fillId="4" borderId="15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5" xfId="1" applyFont="1" applyFill="1" applyBorder="1" applyAlignment="1">
      <alignment horizontal="center" vertical="center" wrapText="1"/>
    </xf>
    <xf numFmtId="164" fontId="8" fillId="0" borderId="0" xfId="1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6" fillId="0" borderId="0" xfId="1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2" borderId="0" xfId="0" applyFont="1" applyFill="1"/>
    <xf numFmtId="0" fontId="8" fillId="4" borderId="0" xfId="0" applyFont="1" applyFill="1" applyAlignment="1">
      <alignment horizontal="center"/>
    </xf>
    <xf numFmtId="0" fontId="9" fillId="2" borderId="4" xfId="0" applyFont="1" applyFill="1" applyBorder="1"/>
    <xf numFmtId="166" fontId="9" fillId="2" borderId="5" xfId="2" applyNumberFormat="1" applyFont="1" applyFill="1" applyBorder="1"/>
    <xf numFmtId="0" fontId="10" fillId="3" borderId="4" xfId="0" applyFont="1" applyFill="1" applyBorder="1" applyAlignment="1">
      <alignment horizontal="center" vertical="center" wrapText="1"/>
    </xf>
    <xf numFmtId="164" fontId="10" fillId="3" borderId="11" xfId="1" applyFont="1" applyFill="1" applyBorder="1" applyAlignment="1">
      <alignment horizontal="center" vertical="center" wrapText="1"/>
    </xf>
    <xf numFmtId="164" fontId="6" fillId="0" borderId="23" xfId="1" applyFont="1" applyBorder="1" applyAlignment="1">
      <alignment horizontal="center" vertical="center" wrapText="1"/>
    </xf>
    <xf numFmtId="164" fontId="6" fillId="0" borderId="24" xfId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11" xfId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164" fontId="4" fillId="0" borderId="24" xfId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6" fillId="2" borderId="0" xfId="2" applyNumberFormat="1" applyFont="1" applyFill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165" fontId="6" fillId="4" borderId="0" xfId="0" applyNumberFormat="1" applyFont="1" applyFill="1"/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166" fontId="9" fillId="2" borderId="11" xfId="2" applyNumberFormat="1" applyFont="1" applyFill="1" applyBorder="1"/>
    <xf numFmtId="164" fontId="10" fillId="3" borderId="30" xfId="1" applyFont="1" applyFill="1" applyBorder="1" applyAlignment="1">
      <alignment horizontal="center" vertical="center" wrapText="1"/>
    </xf>
    <xf numFmtId="164" fontId="10" fillId="3" borderId="0" xfId="1" applyFont="1" applyFill="1"/>
    <xf numFmtId="164" fontId="7" fillId="3" borderId="30" xfId="1" applyFont="1" applyFill="1" applyBorder="1" applyAlignment="1">
      <alignment horizontal="center" vertical="center" wrapText="1"/>
    </xf>
    <xf numFmtId="164" fontId="7" fillId="3" borderId="0" xfId="1" applyFont="1" applyFill="1"/>
    <xf numFmtId="0" fontId="7" fillId="3" borderId="9" xfId="0" applyFont="1" applyFill="1" applyBorder="1" applyAlignment="1">
      <alignment horizontal="center" vertical="center" wrapText="1"/>
    </xf>
    <xf numFmtId="164" fontId="7" fillId="3" borderId="9" xfId="1" applyFont="1" applyFill="1" applyBorder="1" applyAlignment="1">
      <alignment horizontal="center" vertical="center" wrapText="1"/>
    </xf>
    <xf numFmtId="43" fontId="10" fillId="3" borderId="0" xfId="0" applyNumberFormat="1" applyFont="1" applyFill="1"/>
    <xf numFmtId="0" fontId="11" fillId="3" borderId="14" xfId="0" applyFont="1" applyFill="1" applyBorder="1"/>
    <xf numFmtId="166" fontId="11" fillId="3" borderId="10" xfId="2" applyNumberFormat="1" applyFont="1" applyFill="1" applyBorder="1"/>
    <xf numFmtId="166" fontId="11" fillId="3" borderId="15" xfId="2" applyNumberFormat="1" applyFont="1" applyFill="1" applyBorder="1"/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EC5A10"/>
      <color rgb="FFF6F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5398-DF35-4CB0-B679-B7C983919EE9}">
  <sheetPr>
    <pageSetUpPr fitToPage="1"/>
  </sheetPr>
  <dimension ref="A1:Y86"/>
  <sheetViews>
    <sheetView tabSelected="1" topLeftCell="G1" zoomScale="80" zoomScaleNormal="80" workbookViewId="0">
      <selection activeCell="H1" sqref="H1:V86"/>
    </sheetView>
  </sheetViews>
  <sheetFormatPr defaultColWidth="10.90625" defaultRowHeight="13" x14ac:dyDescent="0.3"/>
  <cols>
    <col min="1" max="1" width="36" style="17" customWidth="1"/>
    <col min="2" max="2" width="12.6328125" style="17" customWidth="1"/>
    <col min="3" max="5" width="13.54296875" style="17" bestFit="1" customWidth="1"/>
    <col min="6" max="6" width="12.1796875" style="17" bestFit="1" customWidth="1"/>
    <col min="7" max="7" width="1.6328125" style="17" customWidth="1"/>
    <col min="8" max="8" width="17.54296875" style="17" customWidth="1"/>
    <col min="9" max="9" width="20.81640625" style="17" customWidth="1"/>
    <col min="10" max="16384" width="10.90625" style="17"/>
  </cols>
  <sheetData>
    <row r="1" spans="1:17" x14ac:dyDescent="0.3">
      <c r="A1" s="84" t="s">
        <v>92</v>
      </c>
      <c r="B1" s="85"/>
      <c r="C1" s="85"/>
      <c r="D1" s="85"/>
      <c r="E1" s="85"/>
      <c r="F1" s="86"/>
      <c r="H1" s="98" t="s">
        <v>73</v>
      </c>
      <c r="I1" s="99"/>
      <c r="J1" s="99"/>
      <c r="K1" s="99"/>
      <c r="L1" s="99"/>
      <c r="M1" s="100"/>
      <c r="N1" s="27"/>
      <c r="O1" s="27"/>
      <c r="P1" s="27"/>
      <c r="Q1" s="27"/>
    </row>
    <row r="2" spans="1:17" x14ac:dyDescent="0.3">
      <c r="A2" s="68" t="s">
        <v>36</v>
      </c>
      <c r="B2" s="69" t="s">
        <v>23</v>
      </c>
      <c r="C2" s="69" t="s">
        <v>24</v>
      </c>
      <c r="D2" s="69" t="s">
        <v>25</v>
      </c>
      <c r="E2" s="69" t="s">
        <v>26</v>
      </c>
      <c r="F2" s="70" t="s">
        <v>5</v>
      </c>
      <c r="H2" s="52" t="s">
        <v>0</v>
      </c>
      <c r="I2" s="38" t="s">
        <v>1</v>
      </c>
      <c r="J2" s="38" t="s">
        <v>2</v>
      </c>
      <c r="K2" s="38" t="s">
        <v>3</v>
      </c>
      <c r="L2" s="39" t="s">
        <v>4</v>
      </c>
      <c r="M2" s="53" t="s">
        <v>5</v>
      </c>
      <c r="N2" s="40" t="s">
        <v>23</v>
      </c>
      <c r="O2" s="40" t="s">
        <v>24</v>
      </c>
      <c r="P2" s="40" t="s">
        <v>25</v>
      </c>
      <c r="Q2" s="40" t="s">
        <v>26</v>
      </c>
    </row>
    <row r="3" spans="1:17" x14ac:dyDescent="0.3">
      <c r="A3" s="50" t="s">
        <v>85</v>
      </c>
      <c r="B3" s="51">
        <f>N22</f>
        <v>26118954.761904761</v>
      </c>
      <c r="C3" s="51">
        <f t="shared" ref="C3:E3" si="0">O22</f>
        <v>34689907.142857142</v>
      </c>
      <c r="D3" s="51">
        <f t="shared" si="0"/>
        <v>34689907.142857142</v>
      </c>
      <c r="E3" s="51">
        <f t="shared" si="0"/>
        <v>27504430.952380951</v>
      </c>
      <c r="F3" s="71">
        <f>SUM(B3:E3)</f>
        <v>123003200</v>
      </c>
      <c r="H3" s="101" t="s">
        <v>6</v>
      </c>
      <c r="I3" s="41" t="s">
        <v>8</v>
      </c>
      <c r="J3" s="41" t="s">
        <v>7</v>
      </c>
      <c r="K3" s="41">
        <v>10.5</v>
      </c>
      <c r="L3" s="42">
        <f>33000*3*52/12</f>
        <v>429000</v>
      </c>
      <c r="M3" s="54">
        <f t="shared" ref="M3:M21" si="1">L3*K3</f>
        <v>4504500</v>
      </c>
      <c r="N3" s="27">
        <f t="shared" ref="N3:N12" si="2">L3*2</f>
        <v>858000</v>
      </c>
      <c r="O3" s="27">
        <f t="shared" ref="O3:O12" si="3">L3*3</f>
        <v>1287000</v>
      </c>
      <c r="P3" s="27">
        <f t="shared" ref="P3:P12" si="4">L3*3</f>
        <v>1287000</v>
      </c>
      <c r="Q3" s="27">
        <f t="shared" ref="Q3:Q12" si="5">L3*2.5</f>
        <v>1072500</v>
      </c>
    </row>
    <row r="4" spans="1:17" x14ac:dyDescent="0.3">
      <c r="A4" s="50" t="s">
        <v>86</v>
      </c>
      <c r="B4" s="51">
        <f>N31</f>
        <v>874762</v>
      </c>
      <c r="C4" s="51">
        <f t="shared" ref="C4:E4" si="6">O31</f>
        <v>1312143</v>
      </c>
      <c r="D4" s="51">
        <f t="shared" si="6"/>
        <v>1721643</v>
      </c>
      <c r="E4" s="51">
        <f t="shared" si="6"/>
        <v>1093452.5</v>
      </c>
      <c r="F4" s="71">
        <f t="shared" ref="F4:F8" si="7">SUM(B4:E4)</f>
        <v>5002000.5</v>
      </c>
      <c r="H4" s="101"/>
      <c r="I4" s="43" t="s">
        <v>59</v>
      </c>
      <c r="J4" s="43" t="s">
        <v>7</v>
      </c>
      <c r="K4" s="41">
        <v>10.5</v>
      </c>
      <c r="L4" s="44">
        <f>26500*14*52/12</f>
        <v>1607666.6666666667</v>
      </c>
      <c r="M4" s="55">
        <f t="shared" si="1"/>
        <v>16880500</v>
      </c>
      <c r="N4" s="27">
        <f t="shared" si="2"/>
        <v>3215333.3333333335</v>
      </c>
      <c r="O4" s="27">
        <f t="shared" si="3"/>
        <v>4823000</v>
      </c>
      <c r="P4" s="27">
        <f t="shared" si="4"/>
        <v>4823000</v>
      </c>
      <c r="Q4" s="27">
        <f t="shared" si="5"/>
        <v>4019166.666666667</v>
      </c>
    </row>
    <row r="5" spans="1:17" x14ac:dyDescent="0.3">
      <c r="A5" s="50" t="s">
        <v>67</v>
      </c>
      <c r="B5" s="51">
        <f>N40</f>
        <v>2646400</v>
      </c>
      <c r="C5" s="51">
        <f t="shared" ref="C5:E5" si="8">O40</f>
        <v>1569600</v>
      </c>
      <c r="D5" s="51">
        <f t="shared" si="8"/>
        <v>1989600</v>
      </c>
      <c r="E5" s="51">
        <f t="shared" si="8"/>
        <v>1308000</v>
      </c>
      <c r="F5" s="71">
        <f t="shared" si="7"/>
        <v>7513600</v>
      </c>
      <c r="H5" s="101"/>
      <c r="I5" s="43" t="s">
        <v>22</v>
      </c>
      <c r="J5" s="43" t="s">
        <v>7</v>
      </c>
      <c r="K5" s="41">
        <v>10.5</v>
      </c>
      <c r="L5" s="44">
        <f>26500*20*52/12</f>
        <v>2296666.6666666665</v>
      </c>
      <c r="M5" s="55">
        <f t="shared" si="1"/>
        <v>24115000</v>
      </c>
      <c r="N5" s="27">
        <f t="shared" si="2"/>
        <v>4593333.333333333</v>
      </c>
      <c r="O5" s="27">
        <f t="shared" si="3"/>
        <v>6890000</v>
      </c>
      <c r="P5" s="27">
        <f t="shared" si="4"/>
        <v>6890000</v>
      </c>
      <c r="Q5" s="27">
        <f t="shared" si="5"/>
        <v>5741666.666666666</v>
      </c>
    </row>
    <row r="6" spans="1:17" x14ac:dyDescent="0.3">
      <c r="A6" s="50" t="s">
        <v>84</v>
      </c>
      <c r="B6" s="51">
        <f>N48</f>
        <v>761942.85714285728</v>
      </c>
      <c r="C6" s="51">
        <f t="shared" ref="C6:E6" si="9">O48</f>
        <v>1142914.2857142854</v>
      </c>
      <c r="D6" s="51">
        <f t="shared" si="9"/>
        <v>1142914.2857142854</v>
      </c>
      <c r="E6" s="51">
        <f t="shared" si="9"/>
        <v>952428.57142857148</v>
      </c>
      <c r="F6" s="71">
        <f t="shared" si="7"/>
        <v>4000199.9999999995</v>
      </c>
      <c r="H6" s="101"/>
      <c r="I6" s="43" t="s">
        <v>65</v>
      </c>
      <c r="J6" s="43" t="s">
        <v>7</v>
      </c>
      <c r="K6" s="41">
        <v>10.5</v>
      </c>
      <c r="L6" s="44">
        <f>33000*6*52/12</f>
        <v>858000</v>
      </c>
      <c r="M6" s="55">
        <f t="shared" si="1"/>
        <v>9009000</v>
      </c>
      <c r="N6" s="27">
        <f t="shared" si="2"/>
        <v>1716000</v>
      </c>
      <c r="O6" s="27">
        <f t="shared" si="3"/>
        <v>2574000</v>
      </c>
      <c r="P6" s="27">
        <f t="shared" si="4"/>
        <v>2574000</v>
      </c>
      <c r="Q6" s="27">
        <f t="shared" si="5"/>
        <v>2145000</v>
      </c>
    </row>
    <row r="7" spans="1:17" x14ac:dyDescent="0.3">
      <c r="A7" s="50" t="s">
        <v>35</v>
      </c>
      <c r="B7" s="51">
        <f>N58</f>
        <v>1713833.3333333335</v>
      </c>
      <c r="C7" s="51">
        <f t="shared" ref="C7:E7" si="10">O58</f>
        <v>2570750</v>
      </c>
      <c r="D7" s="51">
        <f t="shared" si="10"/>
        <v>2570750</v>
      </c>
      <c r="E7" s="51">
        <f t="shared" si="10"/>
        <v>2142291.666666667</v>
      </c>
      <c r="F7" s="71">
        <f t="shared" si="7"/>
        <v>8997625</v>
      </c>
      <c r="H7" s="101"/>
      <c r="I7" s="43" t="s">
        <v>66</v>
      </c>
      <c r="J7" s="41" t="s">
        <v>7</v>
      </c>
      <c r="K7" s="41">
        <v>10.5</v>
      </c>
      <c r="L7" s="42">
        <f>33000*4*52/12</f>
        <v>572000</v>
      </c>
      <c r="M7" s="55">
        <f t="shared" si="1"/>
        <v>6006000</v>
      </c>
      <c r="N7" s="27">
        <f t="shared" si="2"/>
        <v>1144000</v>
      </c>
      <c r="O7" s="27">
        <f t="shared" si="3"/>
        <v>1716000</v>
      </c>
      <c r="P7" s="27">
        <f t="shared" si="4"/>
        <v>1716000</v>
      </c>
      <c r="Q7" s="27">
        <f t="shared" si="5"/>
        <v>1430000</v>
      </c>
    </row>
    <row r="8" spans="1:17" x14ac:dyDescent="0.3">
      <c r="A8" s="50" t="s">
        <v>87</v>
      </c>
      <c r="B8" s="51">
        <f>N86</f>
        <v>23494400</v>
      </c>
      <c r="C8" s="51">
        <f t="shared" ref="C8:E8" si="11">O86</f>
        <v>16860000</v>
      </c>
      <c r="D8" s="51">
        <f t="shared" si="11"/>
        <v>16860000</v>
      </c>
      <c r="E8" s="51">
        <f t="shared" si="11"/>
        <v>11240000</v>
      </c>
      <c r="F8" s="71">
        <f t="shared" si="7"/>
        <v>68454400</v>
      </c>
      <c r="H8" s="102"/>
      <c r="I8" s="43" t="s">
        <v>29</v>
      </c>
      <c r="J8" s="43" t="s">
        <v>7</v>
      </c>
      <c r="K8" s="41">
        <v>10.5</v>
      </c>
      <c r="L8" s="42">
        <v>1000000</v>
      </c>
      <c r="M8" s="55">
        <f t="shared" si="1"/>
        <v>10500000</v>
      </c>
      <c r="N8" s="27">
        <f t="shared" si="2"/>
        <v>2000000</v>
      </c>
      <c r="O8" s="27">
        <f t="shared" si="3"/>
        <v>3000000</v>
      </c>
      <c r="P8" s="27">
        <f t="shared" si="4"/>
        <v>3000000</v>
      </c>
      <c r="Q8" s="27">
        <f t="shared" si="5"/>
        <v>2500000</v>
      </c>
    </row>
    <row r="9" spans="1:17" ht="13.5" thickBot="1" x14ac:dyDescent="0.35">
      <c r="A9" s="79" t="s">
        <v>33</v>
      </c>
      <c r="B9" s="80">
        <f>SUM(B3:B8)</f>
        <v>55610292.952380955</v>
      </c>
      <c r="C9" s="80">
        <f>SUM(C3:C8)</f>
        <v>58145314.428571425</v>
      </c>
      <c r="D9" s="80">
        <f>SUM(D3:D8)</f>
        <v>58974814.428571425</v>
      </c>
      <c r="E9" s="80">
        <f>SUM(E3:E8)</f>
        <v>44240603.690476194</v>
      </c>
      <c r="F9" s="81">
        <f>SUM(F3:F8)</f>
        <v>216971025.5</v>
      </c>
      <c r="H9" s="87" t="s">
        <v>64</v>
      </c>
      <c r="I9" s="45" t="s">
        <v>89</v>
      </c>
      <c r="J9" s="43" t="s">
        <v>71</v>
      </c>
      <c r="K9" s="41">
        <v>2</v>
      </c>
      <c r="L9" s="42">
        <v>460000</v>
      </c>
      <c r="M9" s="55">
        <f t="shared" si="1"/>
        <v>920000</v>
      </c>
      <c r="N9" s="46">
        <f>$L9*4/10.5</f>
        <v>175238.09523809524</v>
      </c>
      <c r="O9" s="46">
        <f>$L9*6/10.5</f>
        <v>262857.14285714284</v>
      </c>
      <c r="P9" s="46">
        <f>$L9*6/10.5</f>
        <v>262857.14285714284</v>
      </c>
      <c r="Q9" s="46">
        <f>$L9*5/10.5</f>
        <v>219047.61904761905</v>
      </c>
    </row>
    <row r="10" spans="1:17" x14ac:dyDescent="0.3">
      <c r="H10" s="87"/>
      <c r="I10" s="45" t="s">
        <v>27</v>
      </c>
      <c r="J10" s="43" t="s">
        <v>7</v>
      </c>
      <c r="K10" s="41">
        <v>10.5</v>
      </c>
      <c r="L10" s="44">
        <v>500000</v>
      </c>
      <c r="M10" s="55">
        <f t="shared" si="1"/>
        <v>5250000</v>
      </c>
      <c r="N10" s="46">
        <f t="shared" si="2"/>
        <v>1000000</v>
      </c>
      <c r="O10" s="46">
        <f t="shared" si="3"/>
        <v>1500000</v>
      </c>
      <c r="P10" s="46">
        <f t="shared" si="4"/>
        <v>1500000</v>
      </c>
      <c r="Q10" s="27">
        <f t="shared" si="5"/>
        <v>1250000</v>
      </c>
    </row>
    <row r="11" spans="1:17" x14ac:dyDescent="0.3">
      <c r="A11" s="17" t="s">
        <v>88</v>
      </c>
      <c r="H11" s="56" t="s">
        <v>10</v>
      </c>
      <c r="I11" s="45" t="s">
        <v>11</v>
      </c>
      <c r="J11" s="43" t="s">
        <v>7</v>
      </c>
      <c r="K11" s="41">
        <v>10.5</v>
      </c>
      <c r="L11" s="44">
        <v>500000</v>
      </c>
      <c r="M11" s="55">
        <f t="shared" si="1"/>
        <v>5250000</v>
      </c>
      <c r="N11" s="46">
        <f t="shared" si="2"/>
        <v>1000000</v>
      </c>
      <c r="O11" s="46">
        <f t="shared" si="3"/>
        <v>1500000</v>
      </c>
      <c r="P11" s="46">
        <f t="shared" si="4"/>
        <v>1500000</v>
      </c>
      <c r="Q11" s="27">
        <f t="shared" si="5"/>
        <v>1250000</v>
      </c>
    </row>
    <row r="12" spans="1:17" x14ac:dyDescent="0.3">
      <c r="H12" s="103" t="s">
        <v>12</v>
      </c>
      <c r="I12" s="45" t="s">
        <v>13</v>
      </c>
      <c r="J12" s="43" t="s">
        <v>7</v>
      </c>
      <c r="K12" s="41">
        <v>10.5</v>
      </c>
      <c r="L12" s="44">
        <f>80*1500*52/12</f>
        <v>520000</v>
      </c>
      <c r="M12" s="55">
        <f t="shared" si="1"/>
        <v>5460000</v>
      </c>
      <c r="N12" s="46">
        <f t="shared" si="2"/>
        <v>1040000</v>
      </c>
      <c r="O12" s="46">
        <f t="shared" si="3"/>
        <v>1560000</v>
      </c>
      <c r="P12" s="46">
        <f t="shared" si="4"/>
        <v>1560000</v>
      </c>
      <c r="Q12" s="27">
        <f t="shared" si="5"/>
        <v>1300000</v>
      </c>
    </row>
    <row r="13" spans="1:17" x14ac:dyDescent="0.3">
      <c r="H13" s="101"/>
      <c r="I13" s="47" t="s">
        <v>14</v>
      </c>
      <c r="J13" s="43" t="s">
        <v>15</v>
      </c>
      <c r="K13" s="43">
        <v>80</v>
      </c>
      <c r="L13" s="44">
        <v>20000</v>
      </c>
      <c r="M13" s="55">
        <f t="shared" si="1"/>
        <v>1600000</v>
      </c>
      <c r="N13" s="27">
        <f>M13</f>
        <v>1600000</v>
      </c>
      <c r="O13" s="27"/>
      <c r="P13" s="27"/>
      <c r="Q13" s="27"/>
    </row>
    <row r="14" spans="1:17" x14ac:dyDescent="0.3">
      <c r="E14" s="17" t="s">
        <v>46</v>
      </c>
      <c r="H14" s="101"/>
      <c r="I14" s="47" t="s">
        <v>16</v>
      </c>
      <c r="J14" s="43" t="s">
        <v>15</v>
      </c>
      <c r="K14" s="43">
        <v>80</v>
      </c>
      <c r="L14" s="44">
        <v>15000</v>
      </c>
      <c r="M14" s="55">
        <f t="shared" si="1"/>
        <v>1200000</v>
      </c>
      <c r="N14" s="27">
        <f>M14</f>
        <v>1200000</v>
      </c>
      <c r="O14" s="27"/>
      <c r="P14" s="27"/>
      <c r="Q14" s="27"/>
    </row>
    <row r="15" spans="1:17" x14ac:dyDescent="0.3">
      <c r="H15" s="101"/>
      <c r="I15" s="47" t="s">
        <v>17</v>
      </c>
      <c r="J15" s="43" t="s">
        <v>15</v>
      </c>
      <c r="K15" s="43">
        <v>4</v>
      </c>
      <c r="L15" s="44">
        <v>500000</v>
      </c>
      <c r="M15" s="55">
        <f t="shared" si="1"/>
        <v>2000000</v>
      </c>
      <c r="N15" s="27">
        <f>L15</f>
        <v>500000</v>
      </c>
      <c r="O15" s="27">
        <f>L15</f>
        <v>500000</v>
      </c>
      <c r="P15" s="27">
        <f>L15</f>
        <v>500000</v>
      </c>
      <c r="Q15" s="27">
        <f>L15</f>
        <v>500000</v>
      </c>
    </row>
    <row r="16" spans="1:17" x14ac:dyDescent="0.3">
      <c r="H16" s="102"/>
      <c r="I16" s="47" t="s">
        <v>70</v>
      </c>
      <c r="J16" s="43" t="s">
        <v>15</v>
      </c>
      <c r="K16" s="43">
        <v>40</v>
      </c>
      <c r="L16" s="44">
        <v>150000</v>
      </c>
      <c r="M16" s="55">
        <f t="shared" si="1"/>
        <v>6000000</v>
      </c>
      <c r="N16" s="27"/>
      <c r="O16" s="27">
        <f>M16/2</f>
        <v>3000000</v>
      </c>
      <c r="P16" s="27">
        <f>M16/2</f>
        <v>3000000</v>
      </c>
      <c r="Q16" s="27"/>
    </row>
    <row r="17" spans="8:17" x14ac:dyDescent="0.3">
      <c r="H17" s="103" t="s">
        <v>18</v>
      </c>
      <c r="I17" s="47" t="s">
        <v>19</v>
      </c>
      <c r="J17" s="43" t="s">
        <v>7</v>
      </c>
      <c r="K17" s="43">
        <v>12</v>
      </c>
      <c r="L17" s="44">
        <v>500000</v>
      </c>
      <c r="M17" s="55">
        <f t="shared" si="1"/>
        <v>6000000</v>
      </c>
      <c r="N17" s="46">
        <f>L17*3</f>
        <v>1500000</v>
      </c>
      <c r="O17" s="46">
        <f>L17*3</f>
        <v>1500000</v>
      </c>
      <c r="P17" s="46">
        <f>L17*3</f>
        <v>1500000</v>
      </c>
      <c r="Q17" s="46">
        <f>L17*3</f>
        <v>1500000</v>
      </c>
    </row>
    <row r="18" spans="8:17" x14ac:dyDescent="0.3">
      <c r="H18" s="101"/>
      <c r="I18" s="47" t="s">
        <v>90</v>
      </c>
      <c r="J18" s="43" t="s">
        <v>7</v>
      </c>
      <c r="K18" s="43">
        <v>12</v>
      </c>
      <c r="L18" s="44">
        <v>100000</v>
      </c>
      <c r="M18" s="55">
        <f t="shared" si="1"/>
        <v>1200000</v>
      </c>
      <c r="N18" s="46">
        <f>L18*3</f>
        <v>300000</v>
      </c>
      <c r="O18" s="46">
        <f>L18*3</f>
        <v>300000</v>
      </c>
      <c r="P18" s="46">
        <f>L18*3</f>
        <v>300000</v>
      </c>
      <c r="Q18" s="46">
        <f>L18*3</f>
        <v>300000</v>
      </c>
    </row>
    <row r="19" spans="8:17" x14ac:dyDescent="0.3">
      <c r="H19" s="101"/>
      <c r="I19" s="47" t="s">
        <v>20</v>
      </c>
      <c r="J19" s="43" t="s">
        <v>7</v>
      </c>
      <c r="K19" s="43">
        <v>12</v>
      </c>
      <c r="L19" s="44">
        <v>200000</v>
      </c>
      <c r="M19" s="55">
        <f t="shared" si="1"/>
        <v>2400000</v>
      </c>
      <c r="N19" s="46">
        <f>L19*3</f>
        <v>600000</v>
      </c>
      <c r="O19" s="46">
        <f>L19*3</f>
        <v>600000</v>
      </c>
      <c r="P19" s="46">
        <f>L19*3</f>
        <v>600000</v>
      </c>
      <c r="Q19" s="46">
        <f>L19*3</f>
        <v>600000</v>
      </c>
    </row>
    <row r="20" spans="8:17" x14ac:dyDescent="0.3">
      <c r="H20" s="101"/>
      <c r="I20" s="45" t="s">
        <v>42</v>
      </c>
      <c r="J20" s="43" t="s">
        <v>7</v>
      </c>
      <c r="K20" s="43">
        <v>12</v>
      </c>
      <c r="L20" s="44">
        <f>SUM(L3:L16)*0.1</f>
        <v>942833.33333333326</v>
      </c>
      <c r="M20" s="55">
        <f t="shared" si="1"/>
        <v>11314000</v>
      </c>
      <c r="N20" s="46">
        <f t="shared" ref="N20:N21" si="12">L20*3</f>
        <v>2828500</v>
      </c>
      <c r="O20" s="46">
        <f t="shared" ref="O20:O21" si="13">L20*3</f>
        <v>2828500</v>
      </c>
      <c r="P20" s="46">
        <f t="shared" ref="P20:P21" si="14">L20*3</f>
        <v>2828500</v>
      </c>
      <c r="Q20" s="46">
        <f t="shared" ref="Q20:Q21" si="15">L20*3</f>
        <v>2828500</v>
      </c>
    </row>
    <row r="21" spans="8:17" x14ac:dyDescent="0.3">
      <c r="H21" s="87" t="s">
        <v>21</v>
      </c>
      <c r="I21" s="88"/>
      <c r="J21" s="43" t="s">
        <v>7</v>
      </c>
      <c r="K21" s="43">
        <v>12</v>
      </c>
      <c r="L21" s="44">
        <f>SUM(L3:L16)*0.03</f>
        <v>282849.99999999994</v>
      </c>
      <c r="M21" s="55">
        <f t="shared" si="1"/>
        <v>3394199.9999999991</v>
      </c>
      <c r="N21" s="46">
        <f t="shared" si="12"/>
        <v>848549.99999999977</v>
      </c>
      <c r="O21" s="46">
        <f t="shared" si="13"/>
        <v>848549.99999999977</v>
      </c>
      <c r="P21" s="46">
        <f t="shared" si="14"/>
        <v>848549.99999999977</v>
      </c>
      <c r="Q21" s="46">
        <f t="shared" si="15"/>
        <v>848549.99999999977</v>
      </c>
    </row>
    <row r="22" spans="8:17" ht="13.5" thickBot="1" x14ac:dyDescent="0.35">
      <c r="H22" s="89" t="s">
        <v>5</v>
      </c>
      <c r="I22" s="90"/>
      <c r="J22" s="90"/>
      <c r="K22" s="90"/>
      <c r="L22" s="90"/>
      <c r="M22" s="72">
        <f>SUM(M3:M21)</f>
        <v>123003200</v>
      </c>
      <c r="N22" s="73">
        <f>SUM(N3:N21)</f>
        <v>26118954.761904761</v>
      </c>
      <c r="O22" s="73">
        <f t="shared" ref="O22:Q22" si="16">SUM(O3:O21)</f>
        <v>34689907.142857142</v>
      </c>
      <c r="P22" s="73">
        <f t="shared" si="16"/>
        <v>34689907.142857142</v>
      </c>
      <c r="Q22" s="73">
        <f t="shared" si="16"/>
        <v>27504430.952380951</v>
      </c>
    </row>
    <row r="23" spans="8:17" ht="13.5" thickBot="1" x14ac:dyDescent="0.35"/>
    <row r="24" spans="8:17" x14ac:dyDescent="0.3">
      <c r="H24" s="91" t="s">
        <v>72</v>
      </c>
      <c r="I24" s="92"/>
      <c r="J24" s="92"/>
      <c r="K24" s="92"/>
      <c r="L24" s="92"/>
      <c r="M24" s="93"/>
      <c r="N24" s="1"/>
      <c r="O24" s="1"/>
      <c r="P24" s="1"/>
      <c r="Q24" s="1"/>
    </row>
    <row r="25" spans="8:17" x14ac:dyDescent="0.3">
      <c r="H25" s="57" t="s">
        <v>0</v>
      </c>
      <c r="I25" s="10" t="s">
        <v>1</v>
      </c>
      <c r="J25" s="10" t="s">
        <v>2</v>
      </c>
      <c r="K25" s="10" t="s">
        <v>3</v>
      </c>
      <c r="L25" s="11" t="s">
        <v>4</v>
      </c>
      <c r="M25" s="58" t="s">
        <v>5</v>
      </c>
      <c r="N25" s="18" t="s">
        <v>23</v>
      </c>
      <c r="O25" s="18" t="s">
        <v>24</v>
      </c>
      <c r="P25" s="18" t="s">
        <v>25</v>
      </c>
      <c r="Q25" s="18" t="s">
        <v>26</v>
      </c>
    </row>
    <row r="26" spans="8:17" x14ac:dyDescent="0.3">
      <c r="H26" s="59" t="s">
        <v>6</v>
      </c>
      <c r="I26" s="8" t="s">
        <v>69</v>
      </c>
      <c r="J26" s="3" t="s">
        <v>7</v>
      </c>
      <c r="K26" s="7">
        <v>10.5</v>
      </c>
      <c r="L26" s="5">
        <v>200000</v>
      </c>
      <c r="M26" s="60">
        <f t="shared" ref="M26:M30" si="17">L26*K26</f>
        <v>2100000</v>
      </c>
      <c r="N26" s="1">
        <f>L26*2</f>
        <v>400000</v>
      </c>
      <c r="O26" s="1">
        <f>L26*3</f>
        <v>600000</v>
      </c>
      <c r="P26" s="1">
        <f>L26*3</f>
        <v>600000</v>
      </c>
      <c r="Q26" s="1">
        <f>L26*2.5</f>
        <v>500000</v>
      </c>
    </row>
    <row r="27" spans="8:17" x14ac:dyDescent="0.3">
      <c r="H27" s="61" t="s">
        <v>9</v>
      </c>
      <c r="I27" s="6"/>
      <c r="J27" s="3" t="s">
        <v>7</v>
      </c>
      <c r="K27" s="7">
        <v>10.5</v>
      </c>
      <c r="L27" s="4">
        <v>125000</v>
      </c>
      <c r="M27" s="60">
        <f t="shared" si="17"/>
        <v>1312500</v>
      </c>
      <c r="N27" s="9">
        <f>L27*2</f>
        <v>250000</v>
      </c>
      <c r="O27" s="9">
        <f>L27*3</f>
        <v>375000</v>
      </c>
      <c r="P27" s="9">
        <f>L27*3</f>
        <v>375000</v>
      </c>
      <c r="Q27" s="9">
        <f>L27*2.5</f>
        <v>312500</v>
      </c>
    </row>
    <row r="28" spans="8:17" x14ac:dyDescent="0.3">
      <c r="H28" s="59" t="s">
        <v>30</v>
      </c>
      <c r="I28" s="8" t="s">
        <v>17</v>
      </c>
      <c r="J28" s="3" t="s">
        <v>7</v>
      </c>
      <c r="K28" s="3">
        <v>10.5</v>
      </c>
      <c r="L28" s="4">
        <v>39000</v>
      </c>
      <c r="M28" s="60">
        <f t="shared" si="17"/>
        <v>409500</v>
      </c>
      <c r="N28" s="1"/>
      <c r="O28" s="1"/>
      <c r="P28" s="1">
        <f>M28</f>
        <v>409500</v>
      </c>
      <c r="Q28" s="1"/>
    </row>
    <row r="29" spans="8:17" x14ac:dyDescent="0.3">
      <c r="H29" s="62" t="s">
        <v>18</v>
      </c>
      <c r="I29" s="6" t="s">
        <v>42</v>
      </c>
      <c r="J29" s="3" t="s">
        <v>7</v>
      </c>
      <c r="K29" s="3">
        <v>10.5</v>
      </c>
      <c r="L29" s="4">
        <v>87500</v>
      </c>
      <c r="M29" s="60">
        <f t="shared" si="17"/>
        <v>918750</v>
      </c>
      <c r="N29" s="9">
        <f>L29*2</f>
        <v>175000</v>
      </c>
      <c r="O29" s="9">
        <f>L29*3</f>
        <v>262500</v>
      </c>
      <c r="P29" s="9">
        <f>L29*3</f>
        <v>262500</v>
      </c>
      <c r="Q29" s="9">
        <f>L29*2.5</f>
        <v>218750</v>
      </c>
    </row>
    <row r="30" spans="8:17" x14ac:dyDescent="0.3">
      <c r="H30" s="94" t="s">
        <v>41</v>
      </c>
      <c r="I30" s="95"/>
      <c r="J30" s="3" t="s">
        <v>7</v>
      </c>
      <c r="K30" s="3">
        <v>10.5</v>
      </c>
      <c r="L30" s="4">
        <v>24881</v>
      </c>
      <c r="M30" s="60">
        <f t="shared" si="17"/>
        <v>261250.5</v>
      </c>
      <c r="N30" s="9">
        <f>L30*2</f>
        <v>49762</v>
      </c>
      <c r="O30" s="9">
        <f>L30*3</f>
        <v>74643</v>
      </c>
      <c r="P30" s="9">
        <f>L30*3</f>
        <v>74643</v>
      </c>
      <c r="Q30" s="9">
        <f>L30*2.5</f>
        <v>62202.5</v>
      </c>
    </row>
    <row r="31" spans="8:17" ht="13.5" thickBot="1" x14ac:dyDescent="0.35">
      <c r="H31" s="96" t="s">
        <v>5</v>
      </c>
      <c r="I31" s="97"/>
      <c r="J31" s="97"/>
      <c r="K31" s="97"/>
      <c r="L31" s="97"/>
      <c r="M31" s="74">
        <f t="shared" ref="M31:Q31" si="18">SUM(M26:M30)</f>
        <v>5002000.5</v>
      </c>
      <c r="N31" s="75">
        <f t="shared" si="18"/>
        <v>874762</v>
      </c>
      <c r="O31" s="75">
        <f t="shared" si="18"/>
        <v>1312143</v>
      </c>
      <c r="P31" s="75">
        <f t="shared" si="18"/>
        <v>1721643</v>
      </c>
      <c r="Q31" s="75">
        <f t="shared" si="18"/>
        <v>1093452.5</v>
      </c>
    </row>
    <row r="33" spans="8:17" x14ac:dyDescent="0.3">
      <c r="H33" s="82" t="s">
        <v>74</v>
      </c>
      <c r="I33" s="83"/>
      <c r="J33" s="83"/>
      <c r="K33" s="83"/>
      <c r="L33" s="83"/>
      <c r="M33" s="83"/>
      <c r="N33" s="1"/>
      <c r="O33" s="1"/>
      <c r="P33" s="1"/>
      <c r="Q33" s="1"/>
    </row>
    <row r="34" spans="8:17" x14ac:dyDescent="0.3">
      <c r="H34" s="10" t="s">
        <v>0</v>
      </c>
      <c r="I34" s="10" t="s">
        <v>1</v>
      </c>
      <c r="J34" s="10" t="s">
        <v>2</v>
      </c>
      <c r="K34" s="10" t="s">
        <v>3</v>
      </c>
      <c r="L34" s="11" t="s">
        <v>4</v>
      </c>
      <c r="M34" s="11" t="s">
        <v>5</v>
      </c>
      <c r="N34" s="18" t="s">
        <v>23</v>
      </c>
      <c r="O34" s="18" t="s">
        <v>24</v>
      </c>
      <c r="P34" s="18" t="s">
        <v>25</v>
      </c>
      <c r="Q34" s="18" t="s">
        <v>26</v>
      </c>
    </row>
    <row r="35" spans="8:17" x14ac:dyDescent="0.3">
      <c r="H35" s="13" t="s">
        <v>6</v>
      </c>
      <c r="I35" s="8" t="s">
        <v>29</v>
      </c>
      <c r="J35" s="3" t="s">
        <v>7</v>
      </c>
      <c r="K35" s="7">
        <v>10.5</v>
      </c>
      <c r="L35" s="5">
        <v>440000</v>
      </c>
      <c r="M35" s="4">
        <f t="shared" ref="M35:M39" si="19">L35*K35</f>
        <v>4620000</v>
      </c>
      <c r="N35" s="1">
        <f>L35*2</f>
        <v>880000</v>
      </c>
      <c r="O35" s="1">
        <f>L35*3</f>
        <v>1320000</v>
      </c>
      <c r="P35" s="1">
        <f>L35*3</f>
        <v>1320000</v>
      </c>
      <c r="Q35" s="1">
        <f>L35*2.5</f>
        <v>1100000</v>
      </c>
    </row>
    <row r="36" spans="8:17" x14ac:dyDescent="0.3">
      <c r="H36" s="6" t="s">
        <v>9</v>
      </c>
      <c r="I36" s="6" t="s">
        <v>68</v>
      </c>
      <c r="J36" s="3" t="s">
        <v>15</v>
      </c>
      <c r="K36" s="7">
        <v>10</v>
      </c>
      <c r="L36" s="4">
        <v>160000</v>
      </c>
      <c r="M36" s="4">
        <f t="shared" si="19"/>
        <v>1600000</v>
      </c>
      <c r="N36" s="9">
        <f>M36</f>
        <v>1600000</v>
      </c>
      <c r="O36" s="9"/>
      <c r="P36" s="9"/>
      <c r="Q36" s="9"/>
    </row>
    <row r="37" spans="8:17" x14ac:dyDescent="0.3">
      <c r="H37" s="13" t="s">
        <v>30</v>
      </c>
      <c r="I37" s="8" t="s">
        <v>17</v>
      </c>
      <c r="J37" s="3" t="s">
        <v>7</v>
      </c>
      <c r="K37" s="3">
        <v>10.5</v>
      </c>
      <c r="L37" s="4">
        <v>40000</v>
      </c>
      <c r="M37" s="4">
        <f t="shared" si="19"/>
        <v>420000</v>
      </c>
      <c r="N37" s="1"/>
      <c r="O37" s="1"/>
      <c r="P37" s="1">
        <f>M37</f>
        <v>420000</v>
      </c>
      <c r="Q37" s="1"/>
    </row>
    <row r="38" spans="8:17" x14ac:dyDescent="0.3">
      <c r="H38" s="12" t="s">
        <v>18</v>
      </c>
      <c r="I38" s="6" t="s">
        <v>42</v>
      </c>
      <c r="J38" s="3" t="s">
        <v>7</v>
      </c>
      <c r="K38" s="3">
        <v>10.5</v>
      </c>
      <c r="L38" s="4">
        <f>SUM(L35:L37)*0.1</f>
        <v>64000</v>
      </c>
      <c r="M38" s="4">
        <f t="shared" si="19"/>
        <v>672000</v>
      </c>
      <c r="N38" s="9">
        <f>L38*2</f>
        <v>128000</v>
      </c>
      <c r="O38" s="9">
        <f>L38*3</f>
        <v>192000</v>
      </c>
      <c r="P38" s="9">
        <f>L38*3</f>
        <v>192000</v>
      </c>
      <c r="Q38" s="9">
        <f>L38*2.5</f>
        <v>160000</v>
      </c>
    </row>
    <row r="39" spans="8:17" x14ac:dyDescent="0.3">
      <c r="H39" s="95" t="s">
        <v>41</v>
      </c>
      <c r="I39" s="95"/>
      <c r="J39" s="3" t="s">
        <v>7</v>
      </c>
      <c r="K39" s="3">
        <v>10.5</v>
      </c>
      <c r="L39" s="4">
        <f>SUM(L35:L37)*0.03</f>
        <v>19200</v>
      </c>
      <c r="M39" s="4">
        <f t="shared" si="19"/>
        <v>201600</v>
      </c>
      <c r="N39" s="9">
        <f>L39*2</f>
        <v>38400</v>
      </c>
      <c r="O39" s="9">
        <f>L39*3</f>
        <v>57600</v>
      </c>
      <c r="P39" s="9">
        <f>L39*3</f>
        <v>57600</v>
      </c>
      <c r="Q39" s="9">
        <f>L39*2.5</f>
        <v>48000</v>
      </c>
    </row>
    <row r="40" spans="8:17" x14ac:dyDescent="0.3">
      <c r="H40" s="104" t="s">
        <v>5</v>
      </c>
      <c r="I40" s="104"/>
      <c r="J40" s="104"/>
      <c r="K40" s="104"/>
      <c r="L40" s="104"/>
      <c r="M40" s="77">
        <f t="shared" ref="M40:Q40" si="20">SUM(M35:M39)</f>
        <v>7513600</v>
      </c>
      <c r="N40" s="75">
        <f t="shared" si="20"/>
        <v>2646400</v>
      </c>
      <c r="O40" s="75">
        <f t="shared" si="20"/>
        <v>1569600</v>
      </c>
      <c r="P40" s="75">
        <f t="shared" si="20"/>
        <v>1989600</v>
      </c>
      <c r="Q40" s="75">
        <f t="shared" si="20"/>
        <v>1308000</v>
      </c>
    </row>
    <row r="42" spans="8:17" ht="13" customHeight="1" x14ac:dyDescent="0.3">
      <c r="H42" s="82" t="s">
        <v>75</v>
      </c>
      <c r="I42" s="83"/>
      <c r="J42" s="83"/>
      <c r="K42" s="83"/>
      <c r="L42" s="83"/>
      <c r="M42" s="83"/>
      <c r="N42" s="1"/>
      <c r="O42" s="1"/>
      <c r="P42" s="1"/>
      <c r="Q42" s="1"/>
    </row>
    <row r="43" spans="8:17" x14ac:dyDescent="0.3">
      <c r="H43" s="10" t="s">
        <v>0</v>
      </c>
      <c r="I43" s="10" t="s">
        <v>1</v>
      </c>
      <c r="J43" s="10" t="s">
        <v>2</v>
      </c>
      <c r="K43" s="10" t="s">
        <v>3</v>
      </c>
      <c r="L43" s="11" t="s">
        <v>4</v>
      </c>
      <c r="M43" s="11" t="s">
        <v>5</v>
      </c>
      <c r="N43" s="18" t="s">
        <v>23</v>
      </c>
      <c r="O43" s="18" t="s">
        <v>24</v>
      </c>
      <c r="P43" s="18" t="s">
        <v>25</v>
      </c>
      <c r="Q43" s="18" t="s">
        <v>26</v>
      </c>
    </row>
    <row r="44" spans="8:17" x14ac:dyDescent="0.3">
      <c r="H44" s="13" t="s">
        <v>39</v>
      </c>
      <c r="I44" s="8" t="s">
        <v>29</v>
      </c>
      <c r="J44" s="3" t="s">
        <v>38</v>
      </c>
      <c r="K44" s="3">
        <v>1</v>
      </c>
      <c r="L44" s="4">
        <v>440000</v>
      </c>
      <c r="M44" s="4">
        <f>L44*K44</f>
        <v>440000</v>
      </c>
      <c r="N44" s="1">
        <f>$M44*2/10.5</f>
        <v>83809.523809523816</v>
      </c>
      <c r="O44" s="1">
        <f>$M44*3/10.5</f>
        <v>125714.28571428571</v>
      </c>
      <c r="P44" s="1">
        <f>$M44*3/10.5</f>
        <v>125714.28571428571</v>
      </c>
      <c r="Q44" s="1">
        <f>$M44*2.5/10.5</f>
        <v>104761.90476190476</v>
      </c>
    </row>
    <row r="45" spans="8:17" x14ac:dyDescent="0.3">
      <c r="H45" s="13" t="s">
        <v>40</v>
      </c>
      <c r="I45" s="6" t="s">
        <v>45</v>
      </c>
      <c r="J45" s="3" t="s">
        <v>38</v>
      </c>
      <c r="K45" s="3">
        <v>1</v>
      </c>
      <c r="L45" s="4">
        <v>3100000</v>
      </c>
      <c r="M45" s="4">
        <f t="shared" ref="M45:M47" si="21">L45*K45</f>
        <v>3100000</v>
      </c>
      <c r="N45" s="1">
        <f t="shared" ref="N45:N47" si="22">$M45*2/10.5</f>
        <v>590476.19047619053</v>
      </c>
      <c r="O45" s="1">
        <f t="shared" ref="O45:P47" si="23">$M45*3/10.5</f>
        <v>885714.28571428568</v>
      </c>
      <c r="P45" s="1">
        <f t="shared" si="23"/>
        <v>885714.28571428568</v>
      </c>
      <c r="Q45" s="1">
        <f t="shared" ref="Q45:Q47" si="24">$M45*2.5/10.5</f>
        <v>738095.23809523811</v>
      </c>
    </row>
    <row r="46" spans="8:17" x14ac:dyDescent="0.3">
      <c r="H46" s="12" t="s">
        <v>18</v>
      </c>
      <c r="I46" s="6" t="s">
        <v>28</v>
      </c>
      <c r="J46" s="3" t="s">
        <v>38</v>
      </c>
      <c r="K46" s="3">
        <v>1</v>
      </c>
      <c r="L46" s="4">
        <f>SUM(L44:L45)*0.1</f>
        <v>354000</v>
      </c>
      <c r="M46" s="4">
        <f t="shared" si="21"/>
        <v>354000</v>
      </c>
      <c r="N46" s="1">
        <f t="shared" si="22"/>
        <v>67428.571428571435</v>
      </c>
      <c r="O46" s="1">
        <f t="shared" si="23"/>
        <v>101142.85714285714</v>
      </c>
      <c r="P46" s="1">
        <f t="shared" si="23"/>
        <v>101142.85714285714</v>
      </c>
      <c r="Q46" s="1">
        <f t="shared" si="24"/>
        <v>84285.71428571429</v>
      </c>
    </row>
    <row r="47" spans="8:17" x14ac:dyDescent="0.3">
      <c r="H47" s="95" t="s">
        <v>41</v>
      </c>
      <c r="I47" s="95"/>
      <c r="J47" s="3" t="s">
        <v>38</v>
      </c>
      <c r="K47" s="3">
        <v>1</v>
      </c>
      <c r="L47" s="4">
        <f>SUM(L44:L45)*0.03</f>
        <v>106200</v>
      </c>
      <c r="M47" s="4">
        <f t="shared" si="21"/>
        <v>106200</v>
      </c>
      <c r="N47" s="1">
        <f t="shared" si="22"/>
        <v>20228.571428571428</v>
      </c>
      <c r="O47" s="1">
        <f t="shared" si="23"/>
        <v>30342.857142857141</v>
      </c>
      <c r="P47" s="1">
        <f t="shared" si="23"/>
        <v>30342.857142857141</v>
      </c>
      <c r="Q47" s="1">
        <f t="shared" si="24"/>
        <v>25285.714285714286</v>
      </c>
    </row>
    <row r="48" spans="8:17" x14ac:dyDescent="0.3">
      <c r="H48" s="104" t="s">
        <v>5</v>
      </c>
      <c r="I48" s="104"/>
      <c r="J48" s="104"/>
      <c r="K48" s="76"/>
      <c r="L48" s="76"/>
      <c r="M48" s="77">
        <f>SUM(M44:M47)</f>
        <v>4000200</v>
      </c>
      <c r="N48" s="75">
        <f t="shared" ref="N48:Q48" si="25">SUM(N44:N47)</f>
        <v>761942.85714285728</v>
      </c>
      <c r="O48" s="75">
        <f t="shared" si="25"/>
        <v>1142914.2857142854</v>
      </c>
      <c r="P48" s="75">
        <f t="shared" si="25"/>
        <v>1142914.2857142854</v>
      </c>
      <c r="Q48" s="75">
        <f t="shared" si="25"/>
        <v>952428.57142857148</v>
      </c>
    </row>
    <row r="50" spans="8:24" x14ac:dyDescent="0.3">
      <c r="H50" s="82" t="s">
        <v>76</v>
      </c>
      <c r="I50" s="83"/>
      <c r="J50" s="83"/>
      <c r="K50" s="83"/>
      <c r="L50" s="83"/>
      <c r="M50" s="83"/>
      <c r="N50" s="1"/>
      <c r="O50" s="1"/>
      <c r="P50" s="1"/>
      <c r="Q50" s="1"/>
    </row>
    <row r="51" spans="8:24" x14ac:dyDescent="0.3">
      <c r="H51" s="10" t="s">
        <v>0</v>
      </c>
      <c r="I51" s="10" t="s">
        <v>1</v>
      </c>
      <c r="J51" s="10" t="s">
        <v>2</v>
      </c>
      <c r="K51" s="10" t="s">
        <v>3</v>
      </c>
      <c r="L51" s="11" t="s">
        <v>4</v>
      </c>
      <c r="M51" s="11" t="s">
        <v>5</v>
      </c>
      <c r="N51" s="18" t="s">
        <v>23</v>
      </c>
      <c r="O51" s="18" t="s">
        <v>24</v>
      </c>
      <c r="P51" s="18" t="s">
        <v>25</v>
      </c>
      <c r="Q51" s="18" t="s">
        <v>26</v>
      </c>
    </row>
    <row r="52" spans="8:24" x14ac:dyDescent="0.3">
      <c r="H52" s="13" t="s">
        <v>6</v>
      </c>
      <c r="I52" s="8" t="s">
        <v>29</v>
      </c>
      <c r="J52" s="3" t="s">
        <v>7</v>
      </c>
      <c r="K52" s="7">
        <v>10.5</v>
      </c>
      <c r="L52" s="5">
        <v>350000</v>
      </c>
      <c r="M52" s="4">
        <f t="shared" ref="M52:M57" si="26">L52*K52</f>
        <v>3675000</v>
      </c>
      <c r="N52" s="1">
        <f t="shared" ref="N52:N57" si="27">L52*2</f>
        <v>700000</v>
      </c>
      <c r="O52" s="1">
        <f t="shared" ref="O52:O57" si="28">L52*3</f>
        <v>1050000</v>
      </c>
      <c r="P52" s="1">
        <f t="shared" ref="P52:P57" si="29">L52*3</f>
        <v>1050000</v>
      </c>
      <c r="Q52" s="1">
        <f>L52*2.5</f>
        <v>875000</v>
      </c>
    </row>
    <row r="53" spans="8:24" x14ac:dyDescent="0.3">
      <c r="H53" s="13" t="s">
        <v>13</v>
      </c>
      <c r="I53" s="8" t="s">
        <v>60</v>
      </c>
      <c r="J53" s="3" t="s">
        <v>7</v>
      </c>
      <c r="K53" s="7">
        <v>10.5</v>
      </c>
      <c r="L53" s="5">
        <f>2000*20*52/12</f>
        <v>173333.33333333334</v>
      </c>
      <c r="M53" s="4">
        <f t="shared" si="26"/>
        <v>1820000</v>
      </c>
      <c r="N53" s="1">
        <f t="shared" si="27"/>
        <v>346666.66666666669</v>
      </c>
      <c r="O53" s="1">
        <f t="shared" si="28"/>
        <v>520000</v>
      </c>
      <c r="P53" s="1">
        <f t="shared" si="29"/>
        <v>520000</v>
      </c>
      <c r="Q53" s="1">
        <f t="shared" ref="Q53:Q57" si="30">L53*2.5</f>
        <v>433333.33333333337</v>
      </c>
    </row>
    <row r="54" spans="8:24" x14ac:dyDescent="0.3">
      <c r="H54" s="6" t="s">
        <v>9</v>
      </c>
      <c r="I54" s="6" t="s">
        <v>91</v>
      </c>
      <c r="J54" s="3" t="s">
        <v>7</v>
      </c>
      <c r="K54" s="7">
        <v>10.5</v>
      </c>
      <c r="L54" s="4">
        <v>155000</v>
      </c>
      <c r="M54" s="4">
        <f t="shared" si="26"/>
        <v>1627500</v>
      </c>
      <c r="N54" s="1">
        <f t="shared" si="27"/>
        <v>310000</v>
      </c>
      <c r="O54" s="1">
        <f t="shared" si="28"/>
        <v>465000</v>
      </c>
      <c r="P54" s="1">
        <f t="shared" si="29"/>
        <v>465000</v>
      </c>
      <c r="Q54" s="1">
        <f t="shared" si="30"/>
        <v>387500</v>
      </c>
    </row>
    <row r="55" spans="8:24" x14ac:dyDescent="0.3">
      <c r="H55" s="13" t="s">
        <v>30</v>
      </c>
      <c r="I55" s="8" t="s">
        <v>17</v>
      </c>
      <c r="J55" s="3" t="s">
        <v>7</v>
      </c>
      <c r="K55" s="3">
        <v>10.5</v>
      </c>
      <c r="L55" s="4">
        <v>80000</v>
      </c>
      <c r="M55" s="4">
        <f t="shared" si="26"/>
        <v>840000</v>
      </c>
      <c r="N55" s="1">
        <f t="shared" si="27"/>
        <v>160000</v>
      </c>
      <c r="O55" s="1">
        <f t="shared" si="28"/>
        <v>240000</v>
      </c>
      <c r="P55" s="1">
        <f t="shared" si="29"/>
        <v>240000</v>
      </c>
      <c r="Q55" s="1">
        <f t="shared" si="30"/>
        <v>200000</v>
      </c>
    </row>
    <row r="56" spans="8:24" x14ac:dyDescent="0.3">
      <c r="H56" s="12" t="s">
        <v>18</v>
      </c>
      <c r="I56" s="6" t="s">
        <v>43</v>
      </c>
      <c r="J56" s="3" t="s">
        <v>7</v>
      </c>
      <c r="K56" s="3">
        <v>10.5</v>
      </c>
      <c r="L56" s="4">
        <f>SUM(L52:L55)*0.1</f>
        <v>75833.333333333343</v>
      </c>
      <c r="M56" s="4">
        <f t="shared" si="26"/>
        <v>796250.00000000012</v>
      </c>
      <c r="N56" s="1">
        <f t="shared" si="27"/>
        <v>151666.66666666669</v>
      </c>
      <c r="O56" s="1">
        <f t="shared" si="28"/>
        <v>227500.00000000003</v>
      </c>
      <c r="P56" s="1">
        <f t="shared" si="29"/>
        <v>227500.00000000003</v>
      </c>
      <c r="Q56" s="1">
        <f t="shared" si="30"/>
        <v>189583.33333333337</v>
      </c>
    </row>
    <row r="57" spans="8:24" x14ac:dyDescent="0.3">
      <c r="H57" s="95" t="s">
        <v>44</v>
      </c>
      <c r="I57" s="95"/>
      <c r="J57" s="3" t="s">
        <v>7</v>
      </c>
      <c r="K57" s="3">
        <v>10.5</v>
      </c>
      <c r="L57" s="4">
        <f>SUM(L52:L55)*0.03</f>
        <v>22750</v>
      </c>
      <c r="M57" s="4">
        <f t="shared" si="26"/>
        <v>238875</v>
      </c>
      <c r="N57" s="1">
        <f t="shared" si="27"/>
        <v>45500</v>
      </c>
      <c r="O57" s="1">
        <f t="shared" si="28"/>
        <v>68250</v>
      </c>
      <c r="P57" s="1">
        <f t="shared" si="29"/>
        <v>68250</v>
      </c>
      <c r="Q57" s="1">
        <f t="shared" si="30"/>
        <v>56875</v>
      </c>
    </row>
    <row r="58" spans="8:24" x14ac:dyDescent="0.3">
      <c r="H58" s="104" t="s">
        <v>5</v>
      </c>
      <c r="I58" s="104"/>
      <c r="J58" s="104"/>
      <c r="K58" s="104"/>
      <c r="L58" s="104"/>
      <c r="M58" s="77">
        <f t="shared" ref="M58:Q58" si="31">SUM(M52:M57)</f>
        <v>8997625</v>
      </c>
      <c r="N58" s="75">
        <f t="shared" si="31"/>
        <v>1713833.3333333335</v>
      </c>
      <c r="O58" s="75">
        <f t="shared" si="31"/>
        <v>2570750</v>
      </c>
      <c r="P58" s="75">
        <f t="shared" si="31"/>
        <v>2570750</v>
      </c>
      <c r="Q58" s="75">
        <f t="shared" si="31"/>
        <v>2142291.666666667</v>
      </c>
    </row>
    <row r="59" spans="8:24" ht="13.5" thickBot="1" x14ac:dyDescent="0.35"/>
    <row r="60" spans="8:24" x14ac:dyDescent="0.3">
      <c r="H60" s="105" t="s">
        <v>77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7"/>
      <c r="W60" s="2"/>
      <c r="X60" s="2"/>
    </row>
    <row r="61" spans="8:24" x14ac:dyDescent="0.3">
      <c r="H61" s="108" t="s">
        <v>31</v>
      </c>
      <c r="I61" s="109" t="s">
        <v>78</v>
      </c>
      <c r="J61" s="109" t="s">
        <v>80</v>
      </c>
      <c r="K61" s="109" t="s">
        <v>32</v>
      </c>
      <c r="L61" s="110" t="s">
        <v>62</v>
      </c>
      <c r="M61" s="111" t="s">
        <v>50</v>
      </c>
      <c r="N61" s="111"/>
      <c r="O61" s="111"/>
      <c r="P61" s="111"/>
      <c r="Q61" s="111" t="s">
        <v>51</v>
      </c>
      <c r="R61" s="111"/>
      <c r="S61" s="111"/>
      <c r="T61" s="111"/>
      <c r="U61" s="64" t="s">
        <v>53</v>
      </c>
      <c r="V61" s="66" t="s">
        <v>54</v>
      </c>
      <c r="W61" s="2"/>
      <c r="X61" s="2"/>
    </row>
    <row r="62" spans="8:24" x14ac:dyDescent="0.3">
      <c r="H62" s="108"/>
      <c r="I62" s="109"/>
      <c r="J62" s="109"/>
      <c r="K62" s="109"/>
      <c r="L62" s="109"/>
      <c r="M62" s="64" t="s">
        <v>34</v>
      </c>
      <c r="N62" s="64" t="s">
        <v>47</v>
      </c>
      <c r="O62" s="64" t="s">
        <v>48</v>
      </c>
      <c r="P62" s="64" t="s">
        <v>33</v>
      </c>
      <c r="Q62" s="65" t="s">
        <v>52</v>
      </c>
      <c r="R62" s="65" t="s">
        <v>37</v>
      </c>
      <c r="S62" s="65" t="s">
        <v>49</v>
      </c>
      <c r="T62" s="65" t="s">
        <v>33</v>
      </c>
      <c r="U62" s="64" t="s">
        <v>55</v>
      </c>
      <c r="V62" s="66" t="s">
        <v>56</v>
      </c>
      <c r="W62" s="2"/>
      <c r="X62" s="2"/>
    </row>
    <row r="63" spans="8:24" x14ac:dyDescent="0.3">
      <c r="H63" s="15">
        <v>1</v>
      </c>
      <c r="I63" s="37" t="s">
        <v>79</v>
      </c>
      <c r="J63" s="37">
        <v>8</v>
      </c>
      <c r="K63" s="28">
        <v>825000</v>
      </c>
      <c r="L63" s="28">
        <f t="shared" ref="L63" si="32">K63</f>
        <v>825000</v>
      </c>
      <c r="M63" s="19">
        <v>10</v>
      </c>
      <c r="N63" s="21">
        <v>725000</v>
      </c>
      <c r="O63" s="21">
        <f t="shared" ref="O63" si="33">N63/2</f>
        <v>362500</v>
      </c>
      <c r="P63" s="22">
        <f t="shared" ref="P63" si="34">O63*M63</f>
        <v>3625000</v>
      </c>
      <c r="Q63" s="23">
        <v>380000</v>
      </c>
      <c r="R63" s="23">
        <v>380000</v>
      </c>
      <c r="S63" s="24">
        <f t="shared" ref="S63" si="35">58053+359196+38073</f>
        <v>455322</v>
      </c>
      <c r="T63" s="24">
        <f t="shared" ref="T63" si="36">SUM(Q63:S63)</f>
        <v>1215322</v>
      </c>
      <c r="U63" s="29">
        <f t="shared" ref="U63" si="37">L63+P63</f>
        <v>4450000</v>
      </c>
      <c r="V63" s="30">
        <f>K63+P63+T63</f>
        <v>5665322</v>
      </c>
      <c r="W63" s="2"/>
      <c r="X63" s="2"/>
    </row>
    <row r="64" spans="8:24" ht="13.5" thickBot="1" x14ac:dyDescent="0.35">
      <c r="H64" s="31"/>
      <c r="I64" s="32" t="s">
        <v>33</v>
      </c>
      <c r="J64" s="32"/>
      <c r="K64" s="33">
        <f>SUM(K63:K63)</f>
        <v>825000</v>
      </c>
      <c r="L64" s="33">
        <f>SUM(L63:L63)</f>
        <v>825000</v>
      </c>
      <c r="M64" s="34"/>
      <c r="N64" s="34"/>
      <c r="O64" s="34"/>
      <c r="P64" s="35">
        <f>SUM(P63:P63)</f>
        <v>3625000</v>
      </c>
      <c r="Q64" s="34"/>
      <c r="R64" s="34"/>
      <c r="S64" s="35"/>
      <c r="T64" s="35">
        <f>SUM(T63:T63)</f>
        <v>1215322</v>
      </c>
      <c r="U64" s="35">
        <f>SUM(U63:U63)</f>
        <v>4450000</v>
      </c>
      <c r="V64" s="36">
        <f>SUM(V63:V63)</f>
        <v>5665322</v>
      </c>
      <c r="W64" s="16"/>
      <c r="X64" s="2"/>
    </row>
    <row r="65" spans="8:25" x14ac:dyDescent="0.3">
      <c r="H65" s="2"/>
      <c r="I65" s="2"/>
      <c r="J65" s="2"/>
      <c r="K65" s="14"/>
      <c r="L65" s="14"/>
      <c r="M65" s="2"/>
      <c r="N65" s="2"/>
      <c r="O65" s="2"/>
      <c r="P65" s="2"/>
      <c r="Q65" s="2"/>
      <c r="R65" s="2"/>
      <c r="S65" s="25" t="s">
        <v>57</v>
      </c>
      <c r="T65" s="25"/>
      <c r="U65" s="26">
        <f>U64</f>
        <v>4450000</v>
      </c>
      <c r="V65" s="26">
        <f>V64</f>
        <v>5665322</v>
      </c>
      <c r="W65" s="2"/>
      <c r="X65" s="2"/>
    </row>
    <row r="66" spans="8:25" x14ac:dyDescent="0.3">
      <c r="H66" s="2"/>
      <c r="I66" s="48"/>
      <c r="J66" s="48"/>
      <c r="K66" s="63"/>
      <c r="L66" s="63"/>
      <c r="M66" s="48"/>
      <c r="N66" s="48"/>
      <c r="O66" s="48"/>
      <c r="P66" s="48"/>
      <c r="Q66" s="48"/>
      <c r="R66" s="2"/>
      <c r="S66" s="25" t="s">
        <v>58</v>
      </c>
      <c r="T66" s="25"/>
      <c r="U66" s="26">
        <f>U65/12</f>
        <v>370833.33333333331</v>
      </c>
      <c r="V66" s="26">
        <f>V65/12</f>
        <v>472110.16666666669</v>
      </c>
      <c r="W66" s="2"/>
      <c r="X66" s="2"/>
    </row>
    <row r="67" spans="8:25" ht="13" customHeight="1" x14ac:dyDescent="0.3">
      <c r="H67" s="2"/>
      <c r="I67" s="48"/>
      <c r="J67" s="48"/>
      <c r="K67" s="63"/>
      <c r="L67" s="63"/>
      <c r="M67" s="48"/>
      <c r="N67" s="48"/>
      <c r="O67" s="48"/>
      <c r="P67" s="48"/>
      <c r="Q67" s="48"/>
      <c r="R67" s="2"/>
      <c r="S67" s="25" t="s">
        <v>63</v>
      </c>
      <c r="T67" s="25"/>
      <c r="U67" s="26"/>
      <c r="V67" s="26">
        <f>U66</f>
        <v>370833.33333333331</v>
      </c>
      <c r="W67" s="2"/>
      <c r="X67" s="2"/>
    </row>
    <row r="68" spans="8:25" x14ac:dyDescent="0.3">
      <c r="H68" s="2"/>
      <c r="I68" s="48"/>
      <c r="J68" s="48"/>
      <c r="K68" s="63"/>
      <c r="L68" s="63"/>
      <c r="M68" s="48"/>
      <c r="N68" s="48"/>
      <c r="O68" s="48"/>
      <c r="P68" s="48"/>
      <c r="Q68" s="48"/>
      <c r="R68" s="2"/>
      <c r="S68" s="25" t="s">
        <v>82</v>
      </c>
      <c r="T68" s="25"/>
      <c r="U68" s="26"/>
      <c r="V68" s="26">
        <f>U65*J63</f>
        <v>35600000</v>
      </c>
      <c r="W68" s="2"/>
      <c r="X68" s="2"/>
    </row>
    <row r="69" spans="8:25" x14ac:dyDescent="0.3">
      <c r="H69" s="2"/>
      <c r="I69" s="2"/>
      <c r="J69" s="2"/>
      <c r="K69" s="14"/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8:25" x14ac:dyDescent="0.3">
      <c r="H70" s="2"/>
      <c r="I70" s="2"/>
      <c r="J70" s="2"/>
      <c r="K70" s="14"/>
      <c r="L70" s="14"/>
      <c r="M70" s="2"/>
      <c r="N70" s="49" t="s">
        <v>23</v>
      </c>
      <c r="O70" s="49" t="s">
        <v>24</v>
      </c>
      <c r="P70" s="49" t="s">
        <v>25</v>
      </c>
      <c r="Q70" s="49" t="s">
        <v>26</v>
      </c>
      <c r="R70" s="2"/>
      <c r="S70" s="2"/>
      <c r="T70" s="2"/>
      <c r="U70" s="2"/>
      <c r="V70" s="2"/>
      <c r="W70" s="2"/>
      <c r="X70" s="2"/>
      <c r="Y70" s="2"/>
    </row>
    <row r="71" spans="8:25" x14ac:dyDescent="0.3">
      <c r="H71" s="2"/>
      <c r="I71" s="2"/>
      <c r="J71" s="2"/>
      <c r="K71" s="14"/>
      <c r="L71" s="14"/>
      <c r="M71" s="2"/>
      <c r="N71" s="67">
        <f>(L63+($P63/10)*2)*8</f>
        <v>12400000</v>
      </c>
      <c r="O71" s="67">
        <f>(($P63/10)*3)*8</f>
        <v>8700000</v>
      </c>
      <c r="P71" s="67">
        <f>(($P63/10)*3)*8</f>
        <v>8700000</v>
      </c>
      <c r="Q71" s="67">
        <f>(($P63/10)*2)*8</f>
        <v>5800000</v>
      </c>
      <c r="R71" s="2"/>
      <c r="S71" s="2"/>
      <c r="T71" s="2"/>
      <c r="U71" s="2"/>
      <c r="V71" s="2"/>
      <c r="W71" s="2"/>
      <c r="X71" s="2"/>
      <c r="Y71" s="2"/>
    </row>
    <row r="72" spans="8:25" ht="13.5" thickBot="1" x14ac:dyDescent="0.35"/>
    <row r="73" spans="8:25" x14ac:dyDescent="0.3">
      <c r="H73" s="112" t="s">
        <v>81</v>
      </c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4"/>
      <c r="W73" s="2"/>
      <c r="X73" s="2"/>
      <c r="Y73" s="2"/>
    </row>
    <row r="74" spans="8:25" x14ac:dyDescent="0.3">
      <c r="H74" s="108" t="s">
        <v>31</v>
      </c>
      <c r="I74" s="109" t="s">
        <v>78</v>
      </c>
      <c r="J74" s="109" t="s">
        <v>80</v>
      </c>
      <c r="K74" s="109" t="s">
        <v>32</v>
      </c>
      <c r="L74" s="110" t="s">
        <v>61</v>
      </c>
      <c r="M74" s="111" t="s">
        <v>50</v>
      </c>
      <c r="N74" s="111"/>
      <c r="O74" s="111"/>
      <c r="P74" s="111"/>
      <c r="Q74" s="111" t="s">
        <v>51</v>
      </c>
      <c r="R74" s="111"/>
      <c r="S74" s="111"/>
      <c r="T74" s="111"/>
      <c r="U74" s="64" t="s">
        <v>53</v>
      </c>
      <c r="V74" s="66" t="s">
        <v>54</v>
      </c>
      <c r="W74" s="2"/>
      <c r="X74" s="2"/>
      <c r="Y74" s="2"/>
    </row>
    <row r="75" spans="8:25" x14ac:dyDescent="0.3">
      <c r="H75" s="108"/>
      <c r="I75" s="109"/>
      <c r="J75" s="109"/>
      <c r="K75" s="109"/>
      <c r="L75" s="109"/>
      <c r="M75" s="64" t="s">
        <v>34</v>
      </c>
      <c r="N75" s="64" t="s">
        <v>47</v>
      </c>
      <c r="O75" s="64" t="s">
        <v>48</v>
      </c>
      <c r="P75" s="64" t="s">
        <v>33</v>
      </c>
      <c r="Q75" s="65" t="s">
        <v>52</v>
      </c>
      <c r="R75" s="65" t="s">
        <v>37</v>
      </c>
      <c r="S75" s="65" t="s">
        <v>49</v>
      </c>
      <c r="T75" s="65" t="s">
        <v>33</v>
      </c>
      <c r="U75" s="64" t="s">
        <v>55</v>
      </c>
      <c r="V75" s="66" t="s">
        <v>56</v>
      </c>
      <c r="W75" s="2"/>
      <c r="X75" s="2"/>
      <c r="Y75" s="2"/>
    </row>
    <row r="76" spans="8:25" x14ac:dyDescent="0.3">
      <c r="H76" s="15">
        <v>1</v>
      </c>
      <c r="I76" s="37" t="s">
        <v>79</v>
      </c>
      <c r="J76" s="37">
        <v>8</v>
      </c>
      <c r="K76" s="28">
        <v>760000</v>
      </c>
      <c r="L76" s="28">
        <f>K76*0.93</f>
        <v>706800</v>
      </c>
      <c r="M76" s="19">
        <v>10</v>
      </c>
      <c r="N76" s="21">
        <v>680000</v>
      </c>
      <c r="O76" s="21">
        <f>N76/2</f>
        <v>340000</v>
      </c>
      <c r="P76" s="22">
        <f>O76*M76</f>
        <v>3400000</v>
      </c>
      <c r="Q76" s="23">
        <v>380000</v>
      </c>
      <c r="R76" s="23">
        <v>380000</v>
      </c>
      <c r="S76" s="24">
        <v>361118</v>
      </c>
      <c r="T76" s="24">
        <f>SUM(Q76:S76)</f>
        <v>1121118</v>
      </c>
      <c r="U76" s="29">
        <f>L76+P76</f>
        <v>4106800</v>
      </c>
      <c r="V76" s="30">
        <f>K76+P76+T76</f>
        <v>5281118</v>
      </c>
      <c r="W76" s="2"/>
      <c r="X76" s="2"/>
      <c r="Y76" s="2"/>
    </row>
    <row r="77" spans="8:25" ht="13.5" thickBot="1" x14ac:dyDescent="0.35">
      <c r="H77" s="31"/>
      <c r="I77" s="32" t="s">
        <v>33</v>
      </c>
      <c r="J77" s="32"/>
      <c r="K77" s="33">
        <f>SUM(K76:K76)</f>
        <v>760000</v>
      </c>
      <c r="L77" s="33">
        <f>SUM(L76:L76)</f>
        <v>706800</v>
      </c>
      <c r="M77" s="34"/>
      <c r="N77" s="34"/>
      <c r="O77" s="34"/>
      <c r="P77" s="35">
        <f>SUM(P76:P76)</f>
        <v>3400000</v>
      </c>
      <c r="Q77" s="34"/>
      <c r="R77" s="34"/>
      <c r="S77" s="35"/>
      <c r="T77" s="35">
        <f>SUM(T76:T76)</f>
        <v>1121118</v>
      </c>
      <c r="U77" s="35">
        <f>SUM(U76:U76)</f>
        <v>4106800</v>
      </c>
      <c r="V77" s="36">
        <f>SUM(V76:V76)</f>
        <v>5281118</v>
      </c>
      <c r="W77" s="2"/>
      <c r="X77" s="2"/>
      <c r="Y77" s="2"/>
    </row>
    <row r="78" spans="8:25" x14ac:dyDescent="0.3">
      <c r="H78" s="2"/>
      <c r="I78" s="2"/>
      <c r="J78" s="2"/>
      <c r="K78" s="14"/>
      <c r="L78" s="14"/>
      <c r="M78" s="2"/>
      <c r="N78" s="2"/>
      <c r="O78" s="2"/>
      <c r="P78" s="2"/>
      <c r="Q78" s="2"/>
      <c r="R78" s="2"/>
      <c r="S78" s="25" t="s">
        <v>57</v>
      </c>
      <c r="T78" s="25"/>
      <c r="U78" s="26">
        <f>U77</f>
        <v>4106800</v>
      </c>
      <c r="V78" s="26">
        <f>V77</f>
        <v>5281118</v>
      </c>
      <c r="W78" s="2"/>
      <c r="X78" s="2"/>
      <c r="Y78" s="2"/>
    </row>
    <row r="79" spans="8:25" x14ac:dyDescent="0.3">
      <c r="H79" s="2"/>
      <c r="I79" s="2"/>
      <c r="J79" s="2"/>
      <c r="K79" s="14"/>
      <c r="L79" s="14"/>
      <c r="M79" s="2"/>
      <c r="N79" s="2"/>
      <c r="O79" s="2"/>
      <c r="P79" s="2"/>
      <c r="Q79" s="2"/>
      <c r="R79" s="2"/>
      <c r="S79" s="25" t="s">
        <v>58</v>
      </c>
      <c r="T79" s="25"/>
      <c r="U79" s="26">
        <f>U78/12</f>
        <v>342233.33333333331</v>
      </c>
      <c r="V79" s="26">
        <f>V78/12</f>
        <v>440093.16666666669</v>
      </c>
      <c r="W79" s="2"/>
      <c r="X79" s="2" t="s">
        <v>83</v>
      </c>
      <c r="Y79" s="2"/>
    </row>
    <row r="80" spans="8:25" x14ac:dyDescent="0.3">
      <c r="H80" s="2"/>
      <c r="I80" s="2"/>
      <c r="J80" s="2"/>
      <c r="K80" s="14"/>
      <c r="L80" s="14"/>
      <c r="M80" s="2"/>
      <c r="N80" s="2"/>
      <c r="O80" s="2"/>
      <c r="P80" s="2"/>
      <c r="Q80" s="2"/>
      <c r="R80" s="2"/>
      <c r="S80" s="25" t="s">
        <v>63</v>
      </c>
      <c r="T80" s="25"/>
      <c r="U80" s="26"/>
      <c r="V80" s="26">
        <f>U79</f>
        <v>342233.33333333331</v>
      </c>
      <c r="W80" s="2"/>
      <c r="X80" s="2"/>
      <c r="Y80" s="2"/>
    </row>
    <row r="81" spans="8:25" x14ac:dyDescent="0.3">
      <c r="H81" s="2"/>
      <c r="I81" s="2"/>
      <c r="J81" s="2"/>
      <c r="K81" s="14"/>
      <c r="L81" s="14"/>
      <c r="M81" s="2"/>
      <c r="N81" s="2"/>
      <c r="O81" s="2"/>
      <c r="P81" s="2"/>
      <c r="Q81" s="2"/>
      <c r="R81" s="2"/>
      <c r="S81" s="25" t="s">
        <v>82</v>
      </c>
      <c r="T81" s="25"/>
      <c r="U81" s="26"/>
      <c r="V81" s="26">
        <f>U78*J76</f>
        <v>32854400</v>
      </c>
      <c r="W81" s="2"/>
      <c r="X81" s="2"/>
      <c r="Y81" s="2"/>
    </row>
    <row r="82" spans="8:25" x14ac:dyDescent="0.3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8:25" x14ac:dyDescent="0.3">
      <c r="H83" s="2"/>
      <c r="I83" s="2"/>
      <c r="J83" s="2"/>
      <c r="K83" s="2"/>
      <c r="L83" s="2"/>
      <c r="M83" s="2"/>
      <c r="N83" s="49" t="s">
        <v>23</v>
      </c>
      <c r="O83" s="49" t="s">
        <v>24</v>
      </c>
      <c r="P83" s="49" t="s">
        <v>25</v>
      </c>
      <c r="Q83" s="49" t="s">
        <v>26</v>
      </c>
      <c r="R83" s="2"/>
      <c r="S83" s="2"/>
      <c r="T83" s="2"/>
      <c r="U83" s="2"/>
      <c r="V83" s="2"/>
      <c r="W83" s="2"/>
      <c r="X83" s="2"/>
      <c r="Y83" s="2"/>
    </row>
    <row r="84" spans="8:25" x14ac:dyDescent="0.3">
      <c r="H84" s="2"/>
      <c r="I84" s="2"/>
      <c r="J84" s="2"/>
      <c r="K84" s="2"/>
      <c r="L84" s="2"/>
      <c r="M84" s="2"/>
      <c r="N84" s="67">
        <f>(L76+($P76/10)*2)*8</f>
        <v>11094400</v>
      </c>
      <c r="O84" s="67">
        <f>(($P76/10)*3)*8</f>
        <v>8160000</v>
      </c>
      <c r="P84" s="67">
        <f>(($P76/10)*3)*8</f>
        <v>8160000</v>
      </c>
      <c r="Q84" s="67">
        <f>(($P76/10)*2)*8</f>
        <v>5440000</v>
      </c>
      <c r="R84" s="2"/>
      <c r="S84" s="2"/>
      <c r="T84" s="2"/>
      <c r="U84" s="2"/>
      <c r="V84" s="2"/>
      <c r="W84" s="2"/>
      <c r="X84" s="2"/>
      <c r="Y84" s="16"/>
    </row>
    <row r="85" spans="8:25" x14ac:dyDescent="0.3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0"/>
      <c r="V85" s="20"/>
      <c r="W85" s="20"/>
      <c r="X85" s="20"/>
      <c r="Y85" s="16"/>
    </row>
    <row r="86" spans="8:25" x14ac:dyDescent="0.3">
      <c r="H86" s="2"/>
      <c r="I86" s="2"/>
      <c r="J86" s="2"/>
      <c r="K86" s="2"/>
      <c r="L86" s="2"/>
      <c r="M86" s="2"/>
      <c r="N86" s="78">
        <f>N71+N84</f>
        <v>23494400</v>
      </c>
      <c r="O86" s="78">
        <f t="shared" ref="O86:Q86" si="38">O71+O84</f>
        <v>16860000</v>
      </c>
      <c r="P86" s="78">
        <f t="shared" si="38"/>
        <v>16860000</v>
      </c>
      <c r="Q86" s="78">
        <f t="shared" si="38"/>
        <v>11240000</v>
      </c>
      <c r="R86" s="2"/>
      <c r="S86" s="2"/>
      <c r="T86" s="2"/>
      <c r="U86" s="2"/>
      <c r="V86" s="2"/>
      <c r="W86" s="2"/>
      <c r="X86" s="2"/>
      <c r="Y86" s="2"/>
    </row>
  </sheetData>
  <mergeCells count="36">
    <mergeCell ref="I74:I75"/>
    <mergeCell ref="J74:J75"/>
    <mergeCell ref="K74:K75"/>
    <mergeCell ref="L74:L75"/>
    <mergeCell ref="H73:V73"/>
    <mergeCell ref="H74:H75"/>
    <mergeCell ref="M74:P74"/>
    <mergeCell ref="Q74:T74"/>
    <mergeCell ref="H50:M50"/>
    <mergeCell ref="H57:I57"/>
    <mergeCell ref="H58:L58"/>
    <mergeCell ref="H60:V60"/>
    <mergeCell ref="H61:H62"/>
    <mergeCell ref="I61:I62"/>
    <mergeCell ref="J61:J62"/>
    <mergeCell ref="K61:K62"/>
    <mergeCell ref="L61:L62"/>
    <mergeCell ref="M61:P61"/>
    <mergeCell ref="Q61:T61"/>
    <mergeCell ref="H39:I39"/>
    <mergeCell ref="H40:L40"/>
    <mergeCell ref="H47:I47"/>
    <mergeCell ref="H48:J48"/>
    <mergeCell ref="H42:M42"/>
    <mergeCell ref="H33:M33"/>
    <mergeCell ref="A1:F1"/>
    <mergeCell ref="H21:I21"/>
    <mergeCell ref="H22:L22"/>
    <mergeCell ref="H24:M24"/>
    <mergeCell ref="H30:I30"/>
    <mergeCell ref="H31:L31"/>
    <mergeCell ref="H1:M1"/>
    <mergeCell ref="H3:H8"/>
    <mergeCell ref="H9:H10"/>
    <mergeCell ref="H12:H16"/>
    <mergeCell ref="H17:H20"/>
  </mergeCells>
  <phoneticPr fontId="1" type="noConversion"/>
  <printOptions horizontalCentered="1" verticalCentered="1"/>
  <pageMargins left="0.7" right="0.7" top="0.75" bottom="0.75" header="0.3" footer="0.3"/>
  <pageSetup scale="43" orientation="landscape" r:id="rId1"/>
  <ignoredErrors>
    <ignoredError sqref="N19:Q19 N9:Q9 P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Resumen costos</vt:lpstr>
      <vt:lpstr>'Resumen costos'!Print_Area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Ospina Barreiro</dc:creator>
  <cp:lastModifiedBy>Margarita Borda</cp:lastModifiedBy>
  <cp:lastPrinted>2024-10-06T21:01:37Z</cp:lastPrinted>
  <dcterms:created xsi:type="dcterms:W3CDTF">2020-10-10T21:45:47Z</dcterms:created>
  <dcterms:modified xsi:type="dcterms:W3CDTF">2024-10-15T01:12:45Z</dcterms:modified>
</cp:coreProperties>
</file>